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20" windowWidth="20730" windowHeight="11160" firstSheet="3" activeTab="12"/>
  </bookViews>
  <sheets>
    <sheet name="nam 2016" sheetId="4" state="hidden" r:id="rId1"/>
    <sheet name="du kien nam 2017" sheetId="7" state="hidden" r:id="rId2"/>
    <sheet name="Du kien nam 2018" sheetId="8" state="hidden" r:id="rId3"/>
    <sheet name="Tc den 11" sheetId="10" r:id="rId4"/>
    <sheet name="Bảng tổng hợp PL 3" sheetId="20" r:id="rId5"/>
    <sheet name="Cu Chi" sheetId="11" state="hidden" r:id="rId6"/>
    <sheet name="Hoc Mon" sheetId="12" state="hidden" r:id="rId7"/>
    <sheet name="Bình chánh" sheetId="13" state="hidden" r:id="rId8"/>
    <sheet name="Nha Be" sheetId="14" state="hidden" r:id="rId9"/>
    <sheet name="Can Gio" sheetId="15" state="hidden" r:id="rId10"/>
    <sheet name="Uoc cuoi nam 2018" sheetId="17" state="hidden" r:id="rId11"/>
    <sheet name="binh quan tc" sheetId="18" r:id="rId12"/>
    <sheet name="ket quả NTM" sheetId="19" r:id="rId13"/>
  </sheets>
  <definedNames>
    <definedName name="_xlnm._FilterDatabase" localSheetId="7" hidden="1">'Bình chánh'!#REF!</definedName>
    <definedName name="_xlnm._FilterDatabase" localSheetId="9" hidden="1">'Can Gio'!$C$7:$U$10</definedName>
    <definedName name="_xlnm._FilterDatabase" localSheetId="5" hidden="1">'Cu Chi'!#REF!</definedName>
    <definedName name="_xlnm._FilterDatabase" localSheetId="1" hidden="1">'du kien nam 2017'!$A$3:$V$91</definedName>
    <definedName name="_xlnm._FilterDatabase" localSheetId="2" hidden="1">'Du kien nam 2018'!$A$3:$V$91</definedName>
    <definedName name="_xlnm._FilterDatabase" localSheetId="6" hidden="1">'Hoc Mon'!#REF!</definedName>
    <definedName name="_xlnm._FilterDatabase" localSheetId="0" hidden="1">'nam 2016'!$A$3:$V$91</definedName>
    <definedName name="_xlnm._FilterDatabase" localSheetId="8" hidden="1">'Nha Be'!#REF!</definedName>
    <definedName name="_xlnm._FilterDatabase" localSheetId="3" hidden="1">'Tc den 11'!$V$1:$V$103</definedName>
    <definedName name="_xlnm._FilterDatabase" localSheetId="10" hidden="1">'Uoc cuoi nam 2018'!$C$61:$U$64</definedName>
    <definedName name="_xlnm.Print_Area" localSheetId="7">'Bình chánh'!$A$1:$V$43</definedName>
    <definedName name="_xlnm.Print_Area" localSheetId="9">'Can Gio'!$A$1:$V$35</definedName>
    <definedName name="_xlnm.Print_Area" localSheetId="5">'Cu Chi'!$A$1:$V$49</definedName>
    <definedName name="_xlnm.Print_Area" localSheetId="1">'du kien nam 2017'!$C$71:$Q$92</definedName>
    <definedName name="_xlnm.Print_Area" localSheetId="2">'Du kien nam 2018'!$A$1:$V$91</definedName>
    <definedName name="_xlnm.Print_Area" localSheetId="6">'Hoc Mon'!$A$1:$V$39</definedName>
    <definedName name="_xlnm.Print_Area" localSheetId="0">'nam 2016'!$C$71:$Q$92</definedName>
    <definedName name="_xlnm.Print_Area" localSheetId="8">'Nha Be'!$A$1:$V$35</definedName>
    <definedName name="_xlnm.Print_Area" localSheetId="3">'Tc den 11'!$A$1:$V$67</definedName>
    <definedName name="_xlnm.Print_Area" localSheetId="10">'Uoc cuoi nam 2018'!$A$1:$V$89</definedName>
    <definedName name="_xlnm.Print_Titles" localSheetId="7">'Bình chánh'!$2:$2</definedName>
    <definedName name="_xlnm.Print_Titles" localSheetId="9">'Can Gio'!$2:$2</definedName>
    <definedName name="_xlnm.Print_Titles" localSheetId="5">'Cu Chi'!$2:$2</definedName>
    <definedName name="_xlnm.Print_Titles" localSheetId="6">'Hoc Mon'!$2:$2</definedName>
    <definedName name="_xlnm.Print_Titles" localSheetId="8">'Nha Be'!$2:$2</definedName>
    <definedName name="_xlnm.Print_Titles" localSheetId="3">'Tc den 11'!$2:$2</definedName>
    <definedName name="_xlnm.Print_Titles" localSheetId="10">'Uoc cuoi nam 2018'!$2:$2</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3" i="19" l="1"/>
  <c r="F14" i="19"/>
  <c r="F15" i="19"/>
  <c r="F16" i="19"/>
  <c r="F17" i="19"/>
  <c r="F18" i="19"/>
  <c r="F19" i="19"/>
  <c r="F20" i="19"/>
  <c r="F21" i="19"/>
  <c r="F22" i="19"/>
  <c r="F23" i="19"/>
  <c r="F24" i="19"/>
  <c r="F25" i="19"/>
  <c r="F26" i="19"/>
  <c r="F27" i="19"/>
  <c r="F28" i="19"/>
  <c r="F30" i="19"/>
  <c r="F31" i="19"/>
  <c r="U58" i="10" l="1"/>
  <c r="T58" i="10"/>
  <c r="S58" i="10"/>
  <c r="R58" i="10"/>
  <c r="Q58" i="10"/>
  <c r="P58" i="10"/>
  <c r="O58" i="10"/>
  <c r="N58" i="10"/>
  <c r="M58" i="10"/>
  <c r="L58" i="10"/>
  <c r="K58" i="10"/>
  <c r="J58" i="10"/>
  <c r="I58" i="10"/>
  <c r="H58" i="10"/>
  <c r="G58" i="10"/>
  <c r="F58" i="10"/>
  <c r="E58" i="10"/>
  <c r="D58" i="10"/>
  <c r="C58" i="10"/>
  <c r="U51" i="10"/>
  <c r="T51" i="10"/>
  <c r="S51" i="10"/>
  <c r="R51" i="10"/>
  <c r="Q51" i="10"/>
  <c r="P51" i="10"/>
  <c r="O51" i="10"/>
  <c r="N51" i="10"/>
  <c r="M51" i="10"/>
  <c r="L51" i="10"/>
  <c r="K51" i="10"/>
  <c r="J51" i="10"/>
  <c r="I51" i="10"/>
  <c r="H51" i="10"/>
  <c r="G51" i="10"/>
  <c r="F51" i="10"/>
  <c r="E51" i="10"/>
  <c r="D51" i="10"/>
  <c r="C51" i="10"/>
  <c r="U36" i="10"/>
  <c r="T36" i="10"/>
  <c r="S36" i="10"/>
  <c r="R36" i="10"/>
  <c r="Q36" i="10"/>
  <c r="P36" i="10"/>
  <c r="O36" i="10"/>
  <c r="N36" i="10"/>
  <c r="M36" i="10"/>
  <c r="L36" i="10"/>
  <c r="K36" i="10"/>
  <c r="J36" i="10"/>
  <c r="I36" i="10"/>
  <c r="H36" i="10"/>
  <c r="G36" i="10"/>
  <c r="F36" i="10"/>
  <c r="E36" i="10"/>
  <c r="D36" i="10"/>
  <c r="C36" i="10"/>
  <c r="U25" i="10"/>
  <c r="T25" i="10"/>
  <c r="S25" i="10"/>
  <c r="R25" i="10"/>
  <c r="Q25" i="10"/>
  <c r="P25" i="10"/>
  <c r="O25" i="10"/>
  <c r="N25" i="10"/>
  <c r="M25" i="10"/>
  <c r="L25" i="10"/>
  <c r="K25" i="10"/>
  <c r="J25" i="10"/>
  <c r="I25" i="10"/>
  <c r="H25" i="10"/>
  <c r="G25" i="10"/>
  <c r="F25" i="10"/>
  <c r="E25" i="10"/>
  <c r="D25" i="10"/>
  <c r="C25" i="10"/>
  <c r="V64" i="10" l="1"/>
  <c r="V63" i="10"/>
  <c r="V62" i="10"/>
  <c r="V61" i="10"/>
  <c r="V60" i="10"/>
  <c r="V59" i="10"/>
  <c r="V57" i="10"/>
  <c r="V56" i="10"/>
  <c r="V55" i="10"/>
  <c r="V54" i="10"/>
  <c r="V53" i="10"/>
  <c r="V52" i="10"/>
  <c r="V50" i="10"/>
  <c r="V49" i="10"/>
  <c r="V48" i="10"/>
  <c r="V47" i="10"/>
  <c r="V46" i="10"/>
  <c r="V45" i="10"/>
  <c r="V44" i="10"/>
  <c r="V43" i="10"/>
  <c r="V42" i="10"/>
  <c r="V41" i="10"/>
  <c r="V40" i="10"/>
  <c r="V39" i="10"/>
  <c r="V38" i="10"/>
  <c r="V37" i="10"/>
  <c r="V24" i="10"/>
  <c r="V23" i="10"/>
  <c r="V22" i="10"/>
  <c r="V21" i="10"/>
  <c r="V20" i="10"/>
  <c r="V19" i="10"/>
  <c r="V18" i="10"/>
  <c r="V17" i="10"/>
  <c r="V16" i="10"/>
  <c r="V15" i="10"/>
  <c r="V14" i="10"/>
  <c r="V13" i="10"/>
  <c r="V12" i="10"/>
  <c r="V11" i="10"/>
  <c r="V10" i="10"/>
  <c r="V9" i="10"/>
  <c r="V8" i="10"/>
  <c r="V7" i="10"/>
  <c r="V6" i="10"/>
  <c r="V5" i="10"/>
  <c r="U4" i="10"/>
  <c r="U65" i="10" s="1"/>
  <c r="U66" i="10" s="1"/>
  <c r="T4" i="10"/>
  <c r="T65" i="10" s="1"/>
  <c r="T66" i="10" s="1"/>
  <c r="S4" i="10"/>
  <c r="S65" i="10" s="1"/>
  <c r="S66" i="10" s="1"/>
  <c r="R4" i="10"/>
  <c r="R65" i="10" s="1"/>
  <c r="R66" i="10" s="1"/>
  <c r="Q4" i="10"/>
  <c r="Q65" i="10" s="1"/>
  <c r="Q66" i="10" s="1"/>
  <c r="P4" i="10"/>
  <c r="P65" i="10" s="1"/>
  <c r="P66" i="10" s="1"/>
  <c r="O4" i="10"/>
  <c r="O65" i="10" s="1"/>
  <c r="O66" i="10" s="1"/>
  <c r="N4" i="10"/>
  <c r="N65" i="10" s="1"/>
  <c r="N66" i="10" s="1"/>
  <c r="M4" i="10"/>
  <c r="M65" i="10" s="1"/>
  <c r="M66" i="10" s="1"/>
  <c r="L4" i="10"/>
  <c r="L65" i="10" s="1"/>
  <c r="L66" i="10" s="1"/>
  <c r="K4" i="10"/>
  <c r="K65" i="10" s="1"/>
  <c r="K66" i="10" s="1"/>
  <c r="J4" i="10"/>
  <c r="J65" i="10" s="1"/>
  <c r="J66" i="10" s="1"/>
  <c r="I4" i="10"/>
  <c r="I65" i="10" s="1"/>
  <c r="I66" i="10" s="1"/>
  <c r="H4" i="10"/>
  <c r="H65" i="10" s="1"/>
  <c r="H66" i="10" s="1"/>
  <c r="G4" i="10"/>
  <c r="G65" i="10" s="1"/>
  <c r="G66" i="10" s="1"/>
  <c r="F4" i="10"/>
  <c r="F65" i="10" s="1"/>
  <c r="F66" i="10" s="1"/>
  <c r="E4" i="10"/>
  <c r="E65" i="10" s="1"/>
  <c r="E66" i="10" s="1"/>
  <c r="D4" i="10"/>
  <c r="D65" i="10" s="1"/>
  <c r="C4" i="10"/>
  <c r="C65" i="10" s="1"/>
  <c r="C66" i="10" s="1"/>
  <c r="D66" i="10" l="1"/>
  <c r="I6" i="20"/>
  <c r="V36" i="10"/>
  <c r="V65" i="10"/>
  <c r="A67" i="10" s="1"/>
  <c r="V4" i="10"/>
  <c r="V25" i="10"/>
  <c r="V51" i="10"/>
  <c r="V58" i="10"/>
  <c r="I23" i="20" l="1"/>
  <c r="C23" i="20"/>
  <c r="I22" i="20"/>
  <c r="C22" i="20"/>
  <c r="I21" i="20"/>
  <c r="C21" i="20"/>
  <c r="I20" i="20"/>
  <c r="C20" i="20"/>
  <c r="I19" i="20"/>
  <c r="C19" i="20"/>
  <c r="I18" i="20"/>
  <c r="C18" i="20"/>
  <c r="I17" i="20"/>
  <c r="C17" i="20"/>
  <c r="I16" i="20"/>
  <c r="C16" i="20"/>
  <c r="I15" i="20"/>
  <c r="C15" i="20"/>
  <c r="I14" i="20"/>
  <c r="C14" i="20"/>
  <c r="I13" i="20"/>
  <c r="C13" i="20"/>
  <c r="I12" i="20"/>
  <c r="C12" i="20"/>
  <c r="I11" i="20"/>
  <c r="C11" i="20"/>
  <c r="I10" i="20"/>
  <c r="C10" i="20"/>
  <c r="I9" i="20"/>
  <c r="C9" i="20"/>
  <c r="I8" i="20"/>
  <c r="C8" i="20"/>
  <c r="I7" i="20"/>
  <c r="C7" i="20"/>
  <c r="C6" i="20"/>
  <c r="I5" i="20"/>
  <c r="C5" i="20"/>
  <c r="C24" i="20" l="1"/>
  <c r="D23" i="20" s="1"/>
  <c r="J10" i="20" l="1"/>
  <c r="D8" i="20"/>
  <c r="J21" i="20"/>
  <c r="D12" i="20"/>
  <c r="J13" i="20"/>
  <c r="D16" i="20"/>
  <c r="J18" i="20"/>
  <c r="J5" i="20"/>
  <c r="D20" i="20"/>
  <c r="J16" i="20"/>
  <c r="J8" i="20"/>
  <c r="J19" i="20"/>
  <c r="J11" i="20"/>
  <c r="D5" i="20"/>
  <c r="D9" i="20"/>
  <c r="D13" i="20"/>
  <c r="D17" i="20"/>
  <c r="D21" i="20"/>
  <c r="J22" i="20"/>
  <c r="J14" i="20"/>
  <c r="J6" i="20"/>
  <c r="J17" i="20"/>
  <c r="J9" i="20"/>
  <c r="D6" i="20"/>
  <c r="D10" i="20"/>
  <c r="D14" i="20"/>
  <c r="D18" i="20"/>
  <c r="D22" i="20"/>
  <c r="J20" i="20"/>
  <c r="J12" i="20"/>
  <c r="J23" i="20"/>
  <c r="J15" i="20"/>
  <c r="J7" i="20"/>
  <c r="D7" i="20"/>
  <c r="D11" i="20"/>
  <c r="D15" i="20"/>
  <c r="D19" i="20"/>
  <c r="V64" i="17"/>
  <c r="V63" i="17"/>
  <c r="V62" i="17"/>
  <c r="V61" i="17"/>
  <c r="V60" i="17"/>
  <c r="V59" i="17"/>
  <c r="U58" i="17"/>
  <c r="T58" i="17"/>
  <c r="S58" i="17"/>
  <c r="R58" i="17"/>
  <c r="Q58" i="17"/>
  <c r="P58" i="17"/>
  <c r="O58" i="17"/>
  <c r="N58" i="17"/>
  <c r="M58" i="17"/>
  <c r="L58" i="17"/>
  <c r="K58" i="17"/>
  <c r="J58" i="17"/>
  <c r="I58" i="17"/>
  <c r="H58" i="17"/>
  <c r="G58" i="17"/>
  <c r="F58" i="17"/>
  <c r="E58" i="17"/>
  <c r="D58" i="17"/>
  <c r="C58" i="17"/>
  <c r="V57" i="17"/>
  <c r="V56" i="17"/>
  <c r="V55" i="17"/>
  <c r="V54" i="17"/>
  <c r="V53" i="17"/>
  <c r="V52" i="17"/>
  <c r="U51" i="17"/>
  <c r="T51" i="17"/>
  <c r="S51" i="17"/>
  <c r="R51" i="17"/>
  <c r="Q51" i="17"/>
  <c r="P51" i="17"/>
  <c r="O51" i="17"/>
  <c r="N51" i="17"/>
  <c r="M51" i="17"/>
  <c r="L51" i="17"/>
  <c r="K51" i="17"/>
  <c r="J51" i="17"/>
  <c r="I51" i="17"/>
  <c r="H51" i="17"/>
  <c r="G51" i="17"/>
  <c r="F51" i="17"/>
  <c r="E51" i="17"/>
  <c r="D51" i="17"/>
  <c r="C51" i="17"/>
  <c r="V50" i="17"/>
  <c r="V49" i="17"/>
  <c r="V48" i="17"/>
  <c r="V47" i="17"/>
  <c r="V46" i="17"/>
  <c r="V45" i="17"/>
  <c r="V44" i="17"/>
  <c r="V43" i="17"/>
  <c r="V42" i="17"/>
  <c r="V41" i="17"/>
  <c r="V40" i="17"/>
  <c r="V39" i="17"/>
  <c r="V38" i="17"/>
  <c r="V37" i="17"/>
  <c r="U36" i="17"/>
  <c r="T36" i="17"/>
  <c r="S36" i="17"/>
  <c r="R36" i="17"/>
  <c r="Q36" i="17"/>
  <c r="P36" i="17"/>
  <c r="O36" i="17"/>
  <c r="N36" i="17"/>
  <c r="M36" i="17"/>
  <c r="L36" i="17"/>
  <c r="K36" i="17"/>
  <c r="J36" i="17"/>
  <c r="I36" i="17"/>
  <c r="H36" i="17"/>
  <c r="G36" i="17"/>
  <c r="F36" i="17"/>
  <c r="E36" i="17"/>
  <c r="D36" i="17"/>
  <c r="C36" i="17"/>
  <c r="V35" i="17"/>
  <c r="V34" i="17"/>
  <c r="V33" i="17"/>
  <c r="V32" i="17"/>
  <c r="V31" i="17"/>
  <c r="V30" i="17"/>
  <c r="V29" i="17"/>
  <c r="V28" i="17"/>
  <c r="V27" i="17"/>
  <c r="V26" i="17"/>
  <c r="U25" i="17"/>
  <c r="T25" i="17"/>
  <c r="S25" i="17"/>
  <c r="R25" i="17"/>
  <c r="Q25" i="17"/>
  <c r="P25" i="17"/>
  <c r="O25" i="17"/>
  <c r="N25" i="17"/>
  <c r="M25" i="17"/>
  <c r="L25" i="17"/>
  <c r="K25" i="17"/>
  <c r="J25" i="17"/>
  <c r="I25" i="17"/>
  <c r="H25" i="17"/>
  <c r="G25" i="17"/>
  <c r="F25" i="17"/>
  <c r="E25" i="17"/>
  <c r="D25" i="17"/>
  <c r="C25" i="17"/>
  <c r="V24" i="17"/>
  <c r="V23" i="17"/>
  <c r="V22" i="17"/>
  <c r="V21" i="17"/>
  <c r="V20" i="17"/>
  <c r="V19" i="17"/>
  <c r="V18" i="17"/>
  <c r="V17" i="17"/>
  <c r="V16" i="17"/>
  <c r="V15" i="17"/>
  <c r="V14" i="17"/>
  <c r="V13" i="17"/>
  <c r="V12" i="17"/>
  <c r="V11" i="17"/>
  <c r="V10" i="17"/>
  <c r="V9" i="17"/>
  <c r="V8" i="17"/>
  <c r="V7" i="17"/>
  <c r="V6" i="17"/>
  <c r="V5" i="17"/>
  <c r="U4" i="17"/>
  <c r="T4" i="17"/>
  <c r="S4" i="17"/>
  <c r="R4" i="17"/>
  <c r="Q4" i="17"/>
  <c r="P4" i="17"/>
  <c r="O4" i="17"/>
  <c r="N4" i="17"/>
  <c r="M4" i="17"/>
  <c r="L4" i="17"/>
  <c r="K4" i="17"/>
  <c r="J4" i="17"/>
  <c r="I4" i="17"/>
  <c r="H4" i="17"/>
  <c r="G4" i="17"/>
  <c r="F4" i="17"/>
  <c r="E4" i="17"/>
  <c r="D4" i="17"/>
  <c r="C4" i="17"/>
  <c r="E65" i="17" l="1"/>
  <c r="I65" i="17"/>
  <c r="M65" i="17"/>
  <c r="M66" i="17" s="1"/>
  <c r="Q65" i="17"/>
  <c r="P85" i="17" s="1"/>
  <c r="U65" i="17"/>
  <c r="V58" i="17"/>
  <c r="F65" i="17"/>
  <c r="P74" i="17" s="1"/>
  <c r="N65" i="17"/>
  <c r="P82" i="17" s="1"/>
  <c r="V4" i="17"/>
  <c r="C65" i="17"/>
  <c r="P71" i="17" s="1"/>
  <c r="G65" i="17"/>
  <c r="G66" i="17" s="1"/>
  <c r="K65" i="17"/>
  <c r="P79" i="17" s="1"/>
  <c r="S65" i="17"/>
  <c r="V51" i="17"/>
  <c r="J65" i="17"/>
  <c r="P78" i="17" s="1"/>
  <c r="R65" i="17"/>
  <c r="P86" i="17" s="1"/>
  <c r="D65" i="17"/>
  <c r="L65" i="17"/>
  <c r="L66" i="17" s="1"/>
  <c r="V36" i="17"/>
  <c r="W58" i="17"/>
  <c r="W57" i="17"/>
  <c r="W56" i="17"/>
  <c r="W55" i="17"/>
  <c r="W30" i="17"/>
  <c r="W26" i="17"/>
  <c r="W27" i="17"/>
  <c r="W29" i="17"/>
  <c r="W28" i="17"/>
  <c r="W63" i="17"/>
  <c r="W62" i="17"/>
  <c r="W61" i="17"/>
  <c r="W60" i="17"/>
  <c r="W10" i="17"/>
  <c r="W9" i="17"/>
  <c r="W12" i="17"/>
  <c r="W8" i="17"/>
  <c r="W11" i="17"/>
  <c r="W40" i="17"/>
  <c r="W39" i="17"/>
  <c r="W41" i="17"/>
  <c r="W38" i="17"/>
  <c r="W37" i="17"/>
  <c r="T65" i="17"/>
  <c r="P88" i="17" s="1"/>
  <c r="P65" i="17"/>
  <c r="P84" i="17" s="1"/>
  <c r="H89" i="17"/>
  <c r="O65" i="17"/>
  <c r="P83" i="17" s="1"/>
  <c r="H65" i="17"/>
  <c r="P76" i="17" s="1"/>
  <c r="V65" i="17"/>
  <c r="V25" i="17"/>
  <c r="E66" i="17"/>
  <c r="P73" i="17"/>
  <c r="I66" i="17"/>
  <c r="P77" i="17"/>
  <c r="P81" i="17"/>
  <c r="Q66" i="17"/>
  <c r="U66" i="17"/>
  <c r="P89" i="17"/>
  <c r="J66" i="17"/>
  <c r="R66" i="17"/>
  <c r="P72" i="17"/>
  <c r="D66" i="17"/>
  <c r="P80" i="17"/>
  <c r="C66" i="17"/>
  <c r="P87" i="17"/>
  <c r="S66" i="17"/>
  <c r="H71" i="17"/>
  <c r="H72" i="17"/>
  <c r="H73" i="17"/>
  <c r="H74" i="17"/>
  <c r="H75" i="17"/>
  <c r="H76" i="17"/>
  <c r="H77" i="17"/>
  <c r="H78" i="17"/>
  <c r="H79" i="17"/>
  <c r="H80" i="17"/>
  <c r="H81" i="17"/>
  <c r="H82" i="17"/>
  <c r="H83" i="17"/>
  <c r="H84" i="17"/>
  <c r="H85" i="17"/>
  <c r="H86" i="17"/>
  <c r="H87" i="17"/>
  <c r="H88" i="17"/>
  <c r="P75" i="17" l="1"/>
  <c r="K66" i="17"/>
  <c r="N66" i="17"/>
  <c r="O66" i="17"/>
  <c r="H66" i="17"/>
  <c r="F66" i="17"/>
  <c r="Y27" i="17"/>
  <c r="J87" i="17"/>
  <c r="Y8" i="17"/>
  <c r="W69" i="17"/>
  <c r="T66" i="17"/>
  <c r="P66" i="17"/>
  <c r="H90" i="17"/>
  <c r="I89" i="17" s="1"/>
  <c r="I73" i="17" l="1"/>
  <c r="Q84" i="17"/>
  <c r="I88" i="17"/>
  <c r="I78" i="17"/>
  <c r="Q72" i="17"/>
  <c r="I83" i="17"/>
  <c r="I84" i="17"/>
  <c r="Q78" i="17"/>
  <c r="Q71" i="17"/>
  <c r="I77" i="17"/>
  <c r="I71" i="17"/>
  <c r="Q73" i="17"/>
  <c r="I82" i="17"/>
  <c r="Q88" i="17"/>
  <c r="Q77" i="17"/>
  <c r="Q86" i="17"/>
  <c r="Q79" i="17"/>
  <c r="I81" i="17"/>
  <c r="I79" i="17"/>
  <c r="Q81" i="17"/>
  <c r="Q74" i="17"/>
  <c r="Q75" i="17"/>
  <c r="Q85" i="17"/>
  <c r="Q76" i="17"/>
  <c r="Q87" i="17"/>
  <c r="I85" i="17"/>
  <c r="I87" i="17"/>
  <c r="I74" i="17"/>
  <c r="Q82" i="17"/>
  <c r="Q83" i="17"/>
  <c r="I76" i="17"/>
  <c r="I80" i="17"/>
  <c r="Q89" i="17"/>
  <c r="I86" i="17"/>
  <c r="Q80" i="17"/>
  <c r="I75" i="17"/>
  <c r="I72" i="17"/>
  <c r="V10" i="15"/>
  <c r="V9" i="15"/>
  <c r="V8" i="15"/>
  <c r="V7" i="15"/>
  <c r="V6" i="15"/>
  <c r="V5" i="15"/>
  <c r="U4" i="15"/>
  <c r="U11" i="15" s="1"/>
  <c r="T4" i="15"/>
  <c r="S4" i="15"/>
  <c r="S11" i="15" s="1"/>
  <c r="R4" i="15"/>
  <c r="R11" i="15" s="1"/>
  <c r="Q4" i="15"/>
  <c r="Q11" i="15" s="1"/>
  <c r="P4" i="15"/>
  <c r="O4" i="15"/>
  <c r="O11" i="15" s="1"/>
  <c r="N4" i="15"/>
  <c r="N11" i="15" s="1"/>
  <c r="M4" i="15"/>
  <c r="M11" i="15" s="1"/>
  <c r="L4" i="15"/>
  <c r="K4" i="15"/>
  <c r="K11" i="15" s="1"/>
  <c r="J4" i="15"/>
  <c r="J11" i="15" s="1"/>
  <c r="I4" i="15"/>
  <c r="I11" i="15" s="1"/>
  <c r="H4" i="15"/>
  <c r="G4" i="15"/>
  <c r="G11" i="15" s="1"/>
  <c r="F4" i="15"/>
  <c r="F11" i="15" s="1"/>
  <c r="E4" i="15"/>
  <c r="E11" i="15" s="1"/>
  <c r="D4" i="15"/>
  <c r="C4" i="15"/>
  <c r="C11" i="15" s="1"/>
  <c r="T11" i="15"/>
  <c r="P11" i="15"/>
  <c r="L11" i="15"/>
  <c r="H11" i="15"/>
  <c r="D11" i="15"/>
  <c r="V10" i="14"/>
  <c r="V9" i="14"/>
  <c r="V8" i="14"/>
  <c r="V7" i="14"/>
  <c r="V6" i="14"/>
  <c r="V5" i="14"/>
  <c r="U4" i="14"/>
  <c r="T4" i="14"/>
  <c r="T11" i="14" s="1"/>
  <c r="S4" i="14"/>
  <c r="S11" i="14" s="1"/>
  <c r="R4" i="14"/>
  <c r="R11" i="14" s="1"/>
  <c r="Q4" i="14"/>
  <c r="Q11" i="14" s="1"/>
  <c r="P4" i="14"/>
  <c r="P11" i="14" s="1"/>
  <c r="O4" i="14"/>
  <c r="O11" i="14" s="1"/>
  <c r="N4" i="14"/>
  <c r="N11" i="14" s="1"/>
  <c r="M4" i="14"/>
  <c r="L4" i="14"/>
  <c r="L11" i="14" s="1"/>
  <c r="K4" i="14"/>
  <c r="K11" i="14" s="1"/>
  <c r="J4" i="14"/>
  <c r="J11" i="14" s="1"/>
  <c r="I4" i="14"/>
  <c r="I11" i="14" s="1"/>
  <c r="H4" i="14"/>
  <c r="H11" i="14" s="1"/>
  <c r="G4" i="14"/>
  <c r="G11" i="14" s="1"/>
  <c r="F4" i="14"/>
  <c r="F11" i="14" s="1"/>
  <c r="E4" i="14"/>
  <c r="E11" i="14" s="1"/>
  <c r="D4" i="14"/>
  <c r="D11" i="14" s="1"/>
  <c r="C4" i="14"/>
  <c r="C11" i="14" s="1"/>
  <c r="U11" i="14"/>
  <c r="M11" i="14"/>
  <c r="V18" i="13"/>
  <c r="V17" i="13"/>
  <c r="V16" i="13"/>
  <c r="V15" i="13"/>
  <c r="V14" i="13"/>
  <c r="V13" i="13"/>
  <c r="V12" i="13"/>
  <c r="V11" i="13"/>
  <c r="V10" i="13"/>
  <c r="V9" i="13"/>
  <c r="V8" i="13"/>
  <c r="V7" i="13"/>
  <c r="V6" i="13"/>
  <c r="V5" i="13"/>
  <c r="U4" i="13"/>
  <c r="U19" i="13" s="1"/>
  <c r="T4" i="13"/>
  <c r="T19" i="13" s="1"/>
  <c r="S4" i="13"/>
  <c r="S19" i="13" s="1"/>
  <c r="R4" i="13"/>
  <c r="Q4" i="13"/>
  <c r="Q19" i="13" s="1"/>
  <c r="P4" i="13"/>
  <c r="P19" i="13" s="1"/>
  <c r="O4" i="13"/>
  <c r="O19" i="13" s="1"/>
  <c r="N4" i="13"/>
  <c r="N19" i="13" s="1"/>
  <c r="M4" i="13"/>
  <c r="M19" i="13" s="1"/>
  <c r="L4" i="13"/>
  <c r="L19" i="13" s="1"/>
  <c r="K4" i="13"/>
  <c r="K19" i="13" s="1"/>
  <c r="J4" i="13"/>
  <c r="J19" i="13" s="1"/>
  <c r="I4" i="13"/>
  <c r="I19" i="13" s="1"/>
  <c r="H4" i="13"/>
  <c r="H19" i="13" s="1"/>
  <c r="G4" i="13"/>
  <c r="G19" i="13" s="1"/>
  <c r="F4" i="13"/>
  <c r="F19" i="13" s="1"/>
  <c r="E4" i="13"/>
  <c r="E19" i="13" s="1"/>
  <c r="D4" i="13"/>
  <c r="D19" i="13" s="1"/>
  <c r="C4" i="13"/>
  <c r="C19" i="13" s="1"/>
  <c r="R19" i="13"/>
  <c r="V14" i="12"/>
  <c r="V13" i="12"/>
  <c r="V12" i="12"/>
  <c r="V11" i="12"/>
  <c r="V10" i="12"/>
  <c r="V9" i="12"/>
  <c r="V8" i="12"/>
  <c r="V7" i="12"/>
  <c r="V6" i="12"/>
  <c r="V5" i="12"/>
  <c r="U4" i="12"/>
  <c r="U15" i="12" s="1"/>
  <c r="T4" i="12"/>
  <c r="T15" i="12" s="1"/>
  <c r="S4" i="12"/>
  <c r="R4" i="12"/>
  <c r="R15" i="12" s="1"/>
  <c r="Q4" i="12"/>
  <c r="Q15" i="12" s="1"/>
  <c r="P4" i="12"/>
  <c r="P15" i="12" s="1"/>
  <c r="O4" i="12"/>
  <c r="N4" i="12"/>
  <c r="N15" i="12" s="1"/>
  <c r="M4" i="12"/>
  <c r="M15" i="12" s="1"/>
  <c r="L4" i="12"/>
  <c r="L15" i="12" s="1"/>
  <c r="K4" i="12"/>
  <c r="J4" i="12"/>
  <c r="J15" i="12" s="1"/>
  <c r="I4" i="12"/>
  <c r="I15" i="12" s="1"/>
  <c r="H4" i="12"/>
  <c r="H15" i="12" s="1"/>
  <c r="G4" i="12"/>
  <c r="F4" i="12"/>
  <c r="F15" i="12" s="1"/>
  <c r="E4" i="12"/>
  <c r="E15" i="12" s="1"/>
  <c r="D4" i="12"/>
  <c r="D15" i="12" s="1"/>
  <c r="C4" i="12"/>
  <c r="V24" i="11"/>
  <c r="V23" i="11"/>
  <c r="V22" i="11"/>
  <c r="V21" i="11"/>
  <c r="V20" i="11"/>
  <c r="V19" i="11"/>
  <c r="V18" i="11"/>
  <c r="V17" i="11"/>
  <c r="V16" i="11"/>
  <c r="V15" i="11"/>
  <c r="V14" i="11"/>
  <c r="V13" i="11"/>
  <c r="V12" i="11"/>
  <c r="V11" i="11"/>
  <c r="V10" i="11"/>
  <c r="V9" i="11"/>
  <c r="V8" i="11"/>
  <c r="V7" i="11"/>
  <c r="V6" i="11"/>
  <c r="V5" i="11"/>
  <c r="U4" i="11"/>
  <c r="U25" i="11" s="1"/>
  <c r="T4" i="11"/>
  <c r="T25" i="11" s="1"/>
  <c r="S4" i="11"/>
  <c r="S25" i="11" s="1"/>
  <c r="R4" i="11"/>
  <c r="R25" i="11" s="1"/>
  <c r="Q4" i="11"/>
  <c r="Q25" i="11" s="1"/>
  <c r="P4" i="11"/>
  <c r="P25" i="11" s="1"/>
  <c r="O4" i="11"/>
  <c r="O25" i="11" s="1"/>
  <c r="N4" i="11"/>
  <c r="N25" i="11" s="1"/>
  <c r="M4" i="11"/>
  <c r="M25" i="11" s="1"/>
  <c r="L4" i="11"/>
  <c r="L25" i="11" s="1"/>
  <c r="K4" i="11"/>
  <c r="K25" i="11" s="1"/>
  <c r="J4" i="11"/>
  <c r="J25" i="11" s="1"/>
  <c r="I4" i="11"/>
  <c r="I25" i="11" s="1"/>
  <c r="H4" i="11"/>
  <c r="H25" i="11" s="1"/>
  <c r="G4" i="11"/>
  <c r="G25" i="11" s="1"/>
  <c r="F4" i="11"/>
  <c r="F25" i="11" s="1"/>
  <c r="E4" i="11"/>
  <c r="E25" i="11" s="1"/>
  <c r="D4" i="11"/>
  <c r="D25" i="11" s="1"/>
  <c r="C4" i="11"/>
  <c r="C25" i="11" s="1"/>
  <c r="H35" i="15" l="1"/>
  <c r="H43" i="13"/>
  <c r="H33" i="15"/>
  <c r="H33" i="14"/>
  <c r="V4" i="12"/>
  <c r="H47" i="11"/>
  <c r="H41" i="13"/>
  <c r="H33" i="11"/>
  <c r="H48" i="11"/>
  <c r="H37" i="12"/>
  <c r="H40" i="13"/>
  <c r="H34" i="14"/>
  <c r="H32" i="15"/>
  <c r="H45" i="11"/>
  <c r="H49" i="11"/>
  <c r="H36" i="12"/>
  <c r="H39" i="13"/>
  <c r="H31" i="14"/>
  <c r="H31" i="15"/>
  <c r="H31" i="11"/>
  <c r="H46" i="11"/>
  <c r="H35" i="12"/>
  <c r="J35" i="12" s="1"/>
  <c r="H42" i="13"/>
  <c r="H32" i="14"/>
  <c r="H34" i="15"/>
  <c r="V25" i="11"/>
  <c r="H32" i="11"/>
  <c r="H38" i="12"/>
  <c r="H34" i="12"/>
  <c r="V11" i="15"/>
  <c r="P18" i="15"/>
  <c r="D12" i="15"/>
  <c r="P22" i="15"/>
  <c r="H12" i="15"/>
  <c r="P26" i="15"/>
  <c r="L12" i="15"/>
  <c r="P30" i="15"/>
  <c r="P12" i="15"/>
  <c r="P34" i="15"/>
  <c r="T12" i="15"/>
  <c r="E12" i="15"/>
  <c r="P19" i="15"/>
  <c r="I12" i="15"/>
  <c r="P23" i="15"/>
  <c r="M12" i="15"/>
  <c r="P27" i="15"/>
  <c r="Q12" i="15"/>
  <c r="P31" i="15"/>
  <c r="U12" i="15"/>
  <c r="P35" i="15"/>
  <c r="F12" i="15"/>
  <c r="P20" i="15"/>
  <c r="J12" i="15"/>
  <c r="P24" i="15"/>
  <c r="N12" i="15"/>
  <c r="P28" i="15"/>
  <c r="R12" i="15"/>
  <c r="P32" i="15"/>
  <c r="P17" i="15"/>
  <c r="C12" i="15"/>
  <c r="G12" i="15"/>
  <c r="P21" i="15"/>
  <c r="P25" i="15"/>
  <c r="K12" i="15"/>
  <c r="O12" i="15"/>
  <c r="P29" i="15"/>
  <c r="P33" i="15"/>
  <c r="S12" i="15"/>
  <c r="V4" i="15"/>
  <c r="H17" i="15"/>
  <c r="H18" i="15"/>
  <c r="H19" i="15"/>
  <c r="H20" i="15"/>
  <c r="H21" i="15"/>
  <c r="H22" i="15"/>
  <c r="H23" i="15"/>
  <c r="H24" i="15"/>
  <c r="H25" i="15"/>
  <c r="H26" i="15"/>
  <c r="H27" i="15"/>
  <c r="H28" i="15"/>
  <c r="H29" i="15"/>
  <c r="H30" i="15"/>
  <c r="H35" i="14"/>
  <c r="V11" i="14"/>
  <c r="V4" i="14"/>
  <c r="P18" i="14"/>
  <c r="D12" i="14"/>
  <c r="P22" i="14"/>
  <c r="H12" i="14"/>
  <c r="P26" i="14"/>
  <c r="L12" i="14"/>
  <c r="P30" i="14"/>
  <c r="P12" i="14"/>
  <c r="P34" i="14"/>
  <c r="T12" i="14"/>
  <c r="E12" i="14"/>
  <c r="P19" i="14"/>
  <c r="I12" i="14"/>
  <c r="P23" i="14"/>
  <c r="M12" i="14"/>
  <c r="P27" i="14"/>
  <c r="Q12" i="14"/>
  <c r="P31" i="14"/>
  <c r="U12" i="14"/>
  <c r="P35" i="14"/>
  <c r="F12" i="14"/>
  <c r="P20" i="14"/>
  <c r="J12" i="14"/>
  <c r="P24" i="14"/>
  <c r="N12" i="14"/>
  <c r="P28" i="14"/>
  <c r="R12" i="14"/>
  <c r="P32" i="14"/>
  <c r="P17" i="14"/>
  <c r="C12" i="14"/>
  <c r="P21" i="14"/>
  <c r="G12" i="14"/>
  <c r="P25" i="14"/>
  <c r="K12" i="14"/>
  <c r="P29" i="14"/>
  <c r="O12" i="14"/>
  <c r="P33" i="14"/>
  <c r="S12" i="14"/>
  <c r="H17" i="14"/>
  <c r="H18" i="14"/>
  <c r="H19" i="14"/>
  <c r="H20" i="14"/>
  <c r="H21" i="14"/>
  <c r="H22" i="14"/>
  <c r="H23" i="14"/>
  <c r="H24" i="14"/>
  <c r="H25" i="14"/>
  <c r="H26" i="14"/>
  <c r="H27" i="14"/>
  <c r="H28" i="14"/>
  <c r="H29" i="14"/>
  <c r="H30" i="14"/>
  <c r="V19" i="13"/>
  <c r="V4" i="13"/>
  <c r="P26" i="13"/>
  <c r="D20" i="13"/>
  <c r="P30" i="13"/>
  <c r="H20" i="13"/>
  <c r="P34" i="13"/>
  <c r="L20" i="13"/>
  <c r="P38" i="13"/>
  <c r="P20" i="13"/>
  <c r="P42" i="13"/>
  <c r="T20" i="13"/>
  <c r="E20" i="13"/>
  <c r="P27" i="13"/>
  <c r="I20" i="13"/>
  <c r="P31" i="13"/>
  <c r="M20" i="13"/>
  <c r="P35" i="13"/>
  <c r="Q20" i="13"/>
  <c r="P39" i="13"/>
  <c r="U20" i="13"/>
  <c r="P43" i="13"/>
  <c r="F20" i="13"/>
  <c r="P28" i="13"/>
  <c r="J20" i="13"/>
  <c r="P32" i="13"/>
  <c r="N20" i="13"/>
  <c r="P36" i="13"/>
  <c r="R20" i="13"/>
  <c r="P40" i="13"/>
  <c r="P25" i="13"/>
  <c r="C20" i="13"/>
  <c r="G20" i="13"/>
  <c r="P29" i="13"/>
  <c r="P33" i="13"/>
  <c r="K20" i="13"/>
  <c r="O20" i="13"/>
  <c r="P37" i="13"/>
  <c r="P41" i="13"/>
  <c r="S20" i="13"/>
  <c r="H25" i="13"/>
  <c r="H26" i="13"/>
  <c r="H27" i="13"/>
  <c r="H28" i="13"/>
  <c r="H29" i="13"/>
  <c r="H30" i="13"/>
  <c r="H31" i="13"/>
  <c r="H32" i="13"/>
  <c r="H33" i="13"/>
  <c r="H34" i="13"/>
  <c r="H35" i="13"/>
  <c r="H36" i="13"/>
  <c r="H37" i="13"/>
  <c r="H38" i="13"/>
  <c r="V4" i="11"/>
  <c r="P24" i="12"/>
  <c r="F16" i="12"/>
  <c r="P28" i="12"/>
  <c r="J16" i="12"/>
  <c r="P23" i="12"/>
  <c r="E16" i="12"/>
  <c r="P27" i="12"/>
  <c r="I16" i="12"/>
  <c r="P31" i="12"/>
  <c r="M16" i="12"/>
  <c r="P35" i="12"/>
  <c r="Q16" i="12"/>
  <c r="P39" i="12"/>
  <c r="U16" i="12"/>
  <c r="P32" i="12"/>
  <c r="N16" i="12"/>
  <c r="P22" i="12"/>
  <c r="D16" i="12"/>
  <c r="P26" i="12"/>
  <c r="H16" i="12"/>
  <c r="P34" i="12"/>
  <c r="P16" i="12"/>
  <c r="P38" i="12"/>
  <c r="T16" i="12"/>
  <c r="C15" i="12"/>
  <c r="G15" i="12"/>
  <c r="K15" i="12"/>
  <c r="O15" i="12"/>
  <c r="S15" i="12"/>
  <c r="V15" i="12"/>
  <c r="P30" i="12"/>
  <c r="L16" i="12"/>
  <c r="P36" i="12"/>
  <c r="R16" i="12"/>
  <c r="H39" i="12"/>
  <c r="H33" i="12"/>
  <c r="H32" i="12"/>
  <c r="H31" i="12"/>
  <c r="H30" i="12"/>
  <c r="H29" i="12"/>
  <c r="H28" i="12"/>
  <c r="H27" i="12"/>
  <c r="H26" i="12"/>
  <c r="H25" i="12"/>
  <c r="H24" i="12"/>
  <c r="H23" i="12"/>
  <c r="H22" i="12"/>
  <c r="H21" i="12"/>
  <c r="E26" i="11"/>
  <c r="P33" i="11"/>
  <c r="I26" i="11"/>
  <c r="P37" i="11"/>
  <c r="M26" i="11"/>
  <c r="P41" i="11"/>
  <c r="Q26" i="11"/>
  <c r="P45" i="11"/>
  <c r="U26" i="11"/>
  <c r="P49" i="11"/>
  <c r="F26" i="11"/>
  <c r="P34" i="11"/>
  <c r="J26" i="11"/>
  <c r="P38" i="11"/>
  <c r="N26" i="11"/>
  <c r="P42" i="11"/>
  <c r="R26" i="11"/>
  <c r="P46" i="11"/>
  <c r="P31" i="11"/>
  <c r="C26" i="11"/>
  <c r="P35" i="11"/>
  <c r="G26" i="11"/>
  <c r="P39" i="11"/>
  <c r="K26" i="11"/>
  <c r="P43" i="11"/>
  <c r="O26" i="11"/>
  <c r="P47" i="11"/>
  <c r="S26" i="11"/>
  <c r="P32" i="11"/>
  <c r="D26" i="11"/>
  <c r="P36" i="11"/>
  <c r="H26" i="11"/>
  <c r="P40" i="11"/>
  <c r="L26" i="11"/>
  <c r="P44" i="11"/>
  <c r="P26" i="11"/>
  <c r="P48" i="11"/>
  <c r="T26" i="11"/>
  <c r="H34" i="11"/>
  <c r="H35" i="11"/>
  <c r="H36" i="11"/>
  <c r="H37" i="11"/>
  <c r="H38" i="11"/>
  <c r="H39" i="11"/>
  <c r="H40" i="11"/>
  <c r="H41" i="11"/>
  <c r="H42" i="11"/>
  <c r="H43" i="11"/>
  <c r="H44" i="11"/>
  <c r="J46" i="11" l="1"/>
  <c r="J39" i="13"/>
  <c r="H36" i="15"/>
  <c r="I35" i="15" s="1"/>
  <c r="H36" i="14"/>
  <c r="I35" i="14" s="1"/>
  <c r="H44" i="13"/>
  <c r="I43" i="13" s="1"/>
  <c r="P33" i="12"/>
  <c r="O16" i="12"/>
  <c r="P29" i="12"/>
  <c r="K16" i="12"/>
  <c r="H40" i="12"/>
  <c r="I23" i="12" s="1"/>
  <c r="P25" i="12"/>
  <c r="G16" i="12"/>
  <c r="P37" i="12"/>
  <c r="S16" i="12"/>
  <c r="P21" i="12"/>
  <c r="C16" i="12"/>
  <c r="H50" i="11"/>
  <c r="I49" i="11" s="1"/>
  <c r="I42" i="15" l="1"/>
  <c r="Q30" i="15"/>
  <c r="Q34" i="15"/>
  <c r="Q21" i="15"/>
  <c r="I28" i="15"/>
  <c r="Q28" i="15"/>
  <c r="Q18" i="15"/>
  <c r="Q24" i="15"/>
  <c r="I23" i="15"/>
  <c r="Q25" i="15"/>
  <c r="I30" i="15"/>
  <c r="I27" i="15"/>
  <c r="I25" i="15"/>
  <c r="I20" i="15"/>
  <c r="Q27" i="15"/>
  <c r="Q31" i="15"/>
  <c r="I18" i="15"/>
  <c r="I33" i="15"/>
  <c r="I34" i="15"/>
  <c r="Q17" i="15"/>
  <c r="I24" i="15"/>
  <c r="I22" i="15"/>
  <c r="Q35" i="15"/>
  <c r="I19" i="15"/>
  <c r="Q20" i="15"/>
  <c r="I21" i="15"/>
  <c r="Q22" i="15"/>
  <c r="Q29" i="15"/>
  <c r="Q26" i="15"/>
  <c r="Q33" i="15"/>
  <c r="I32" i="15"/>
  <c r="Q19" i="15"/>
  <c r="Q32" i="15"/>
  <c r="Q23" i="15"/>
  <c r="I17" i="15"/>
  <c r="I29" i="15"/>
  <c r="I26" i="15"/>
  <c r="I31" i="15"/>
  <c r="Q27" i="14"/>
  <c r="Q34" i="14"/>
  <c r="I29" i="14"/>
  <c r="I32" i="14"/>
  <c r="Q17" i="14"/>
  <c r="Q23" i="14"/>
  <c r="I17" i="14"/>
  <c r="I22" i="14"/>
  <c r="Q30" i="14"/>
  <c r="I23" i="14"/>
  <c r="Q31" i="14"/>
  <c r="I26" i="14"/>
  <c r="Q29" i="14"/>
  <c r="Q35" i="14"/>
  <c r="Q18" i="14"/>
  <c r="Q25" i="14"/>
  <c r="I21" i="14"/>
  <c r="I31" i="14"/>
  <c r="Q20" i="14"/>
  <c r="I34" i="14"/>
  <c r="I19" i="14"/>
  <c r="Q24" i="14"/>
  <c r="Q26" i="14"/>
  <c r="Q33" i="14"/>
  <c r="I25" i="14"/>
  <c r="I20" i="14"/>
  <c r="I18" i="14"/>
  <c r="Q22" i="14"/>
  <c r="I27" i="14"/>
  <c r="I24" i="14"/>
  <c r="I33" i="14"/>
  <c r="I28" i="14"/>
  <c r="Q28" i="14"/>
  <c r="I30" i="14"/>
  <c r="Q21" i="14"/>
  <c r="Q19" i="14"/>
  <c r="Q32" i="14"/>
  <c r="Q25" i="13"/>
  <c r="I32" i="13"/>
  <c r="Q39" i="13"/>
  <c r="Q34" i="13"/>
  <c r="Q41" i="13"/>
  <c r="I40" i="13"/>
  <c r="Q36" i="13"/>
  <c r="I37" i="13"/>
  <c r="I30" i="13"/>
  <c r="Q43" i="13"/>
  <c r="I27" i="13"/>
  <c r="Q42" i="13"/>
  <c r="I28" i="13"/>
  <c r="Q31" i="13"/>
  <c r="I25" i="13"/>
  <c r="I41" i="13"/>
  <c r="I38" i="13"/>
  <c r="Q32" i="13"/>
  <c r="I31" i="13"/>
  <c r="Q38" i="13"/>
  <c r="I42" i="13"/>
  <c r="Q40" i="13"/>
  <c r="I39" i="13"/>
  <c r="Q26" i="13"/>
  <c r="Q33" i="13"/>
  <c r="I36" i="13"/>
  <c r="Q28" i="13"/>
  <c r="I29" i="13"/>
  <c r="I26" i="13"/>
  <c r="Q27" i="13"/>
  <c r="Q37" i="13"/>
  <c r="I33" i="13"/>
  <c r="Q30" i="13"/>
  <c r="I34" i="13"/>
  <c r="Q35" i="13"/>
  <c r="Q29" i="13"/>
  <c r="I35" i="13"/>
  <c r="Q22" i="12"/>
  <c r="Q25" i="12"/>
  <c r="Q24" i="12"/>
  <c r="I30" i="12"/>
  <c r="I37" i="12"/>
  <c r="Q31" i="12"/>
  <c r="I22" i="12"/>
  <c r="I29" i="12"/>
  <c r="I38" i="12"/>
  <c r="Q28" i="12"/>
  <c r="Q43" i="11"/>
  <c r="Q49" i="11"/>
  <c r="I31" i="11"/>
  <c r="Q32" i="11"/>
  <c r="Q38" i="11"/>
  <c r="I36" i="11"/>
  <c r="Q47" i="11"/>
  <c r="I44" i="11"/>
  <c r="Q44" i="11"/>
  <c r="Q48" i="11"/>
  <c r="I48" i="11"/>
  <c r="I41" i="11"/>
  <c r="I46" i="11"/>
  <c r="Q35" i="11"/>
  <c r="I32" i="11"/>
  <c r="Q33" i="11"/>
  <c r="I45" i="11"/>
  <c r="Q37" i="11"/>
  <c r="Q46" i="11"/>
  <c r="Q31" i="11"/>
  <c r="I34" i="11"/>
  <c r="Q45" i="11"/>
  <c r="I39" i="11"/>
  <c r="I37" i="11"/>
  <c r="Q39" i="11"/>
  <c r="I38" i="11"/>
  <c r="Q42" i="11"/>
  <c r="I43" i="11"/>
  <c r="Q26" i="12"/>
  <c r="I36" i="12"/>
  <c r="I35" i="12"/>
  <c r="Q23" i="12"/>
  <c r="Q34" i="12"/>
  <c r="Q37" i="12"/>
  <c r="I26" i="12"/>
  <c r="Q36" i="12"/>
  <c r="I25" i="12"/>
  <c r="Q27" i="12"/>
  <c r="Q38" i="12"/>
  <c r="I32" i="12"/>
  <c r="Q33" i="12"/>
  <c r="I31" i="12"/>
  <c r="Q35" i="12"/>
  <c r="I28" i="12"/>
  <c r="Q30" i="12"/>
  <c r="I27" i="12"/>
  <c r="Q39" i="12"/>
  <c r="Q21" i="12"/>
  <c r="I34" i="12"/>
  <c r="I33" i="12"/>
  <c r="I21" i="12"/>
  <c r="Q32" i="12"/>
  <c r="Q29" i="12"/>
  <c r="I24" i="12"/>
  <c r="I39" i="12"/>
  <c r="Q40" i="11"/>
  <c r="I40" i="11"/>
  <c r="Q41" i="11"/>
  <c r="I33" i="11"/>
  <c r="I47" i="11"/>
  <c r="Q36" i="11"/>
  <c r="I42" i="11"/>
  <c r="Q34" i="11"/>
  <c r="I35" i="11"/>
  <c r="V66" i="7" l="1"/>
  <c r="V65" i="7"/>
  <c r="V64" i="7"/>
  <c r="V63" i="7"/>
  <c r="V62" i="7"/>
  <c r="V61" i="7"/>
  <c r="U60" i="7"/>
  <c r="T60" i="7"/>
  <c r="S60" i="7"/>
  <c r="R60" i="7"/>
  <c r="Q60" i="7"/>
  <c r="P60" i="7"/>
  <c r="O60" i="7"/>
  <c r="N60" i="7"/>
  <c r="M60" i="7"/>
  <c r="L60" i="7"/>
  <c r="K60" i="7"/>
  <c r="J60" i="7"/>
  <c r="I60" i="7"/>
  <c r="H60" i="7"/>
  <c r="G60" i="7"/>
  <c r="F60" i="7"/>
  <c r="D60" i="7"/>
  <c r="C60" i="7"/>
  <c r="V59" i="7"/>
  <c r="V58" i="7"/>
  <c r="V57" i="7"/>
  <c r="V56" i="7"/>
  <c r="V55" i="7"/>
  <c r="V54" i="7"/>
  <c r="U53" i="7"/>
  <c r="T53" i="7"/>
  <c r="S53" i="7"/>
  <c r="R53" i="7"/>
  <c r="Q53" i="7"/>
  <c r="P53" i="7"/>
  <c r="O53" i="7"/>
  <c r="N53" i="7"/>
  <c r="M53" i="7"/>
  <c r="L53" i="7"/>
  <c r="K53" i="7"/>
  <c r="J53" i="7"/>
  <c r="I53" i="7"/>
  <c r="H53" i="7"/>
  <c r="G53" i="7"/>
  <c r="F53" i="7"/>
  <c r="E53" i="7"/>
  <c r="D53" i="7"/>
  <c r="C53" i="7"/>
  <c r="V52" i="7"/>
  <c r="V51" i="7"/>
  <c r="V50" i="7"/>
  <c r="V49" i="7"/>
  <c r="V48" i="7"/>
  <c r="V47" i="7"/>
  <c r="V46" i="7"/>
  <c r="V45" i="7"/>
  <c r="V44" i="7"/>
  <c r="V43" i="7"/>
  <c r="V42" i="7"/>
  <c r="V41" i="7"/>
  <c r="V40" i="7"/>
  <c r="V39" i="7"/>
  <c r="U38" i="7"/>
  <c r="T38" i="7"/>
  <c r="S38" i="7"/>
  <c r="R38" i="7"/>
  <c r="Q38" i="7"/>
  <c r="P38" i="7"/>
  <c r="O38" i="7"/>
  <c r="N38" i="7"/>
  <c r="M38" i="7"/>
  <c r="L38" i="7"/>
  <c r="K38" i="7"/>
  <c r="J38" i="7"/>
  <c r="I38" i="7"/>
  <c r="H38" i="7"/>
  <c r="G38" i="7"/>
  <c r="F38" i="7"/>
  <c r="E38" i="7"/>
  <c r="D38" i="7"/>
  <c r="C38" i="7"/>
  <c r="V37" i="7"/>
  <c r="V36" i="7"/>
  <c r="V35" i="7"/>
  <c r="V34" i="7"/>
  <c r="V33" i="7"/>
  <c r="V32" i="7"/>
  <c r="V31" i="7"/>
  <c r="V30" i="7"/>
  <c r="V29" i="7"/>
  <c r="V28" i="7"/>
  <c r="U27" i="7"/>
  <c r="T27" i="7"/>
  <c r="S27" i="7"/>
  <c r="R27" i="7"/>
  <c r="Q27" i="7"/>
  <c r="P27" i="7"/>
  <c r="O27" i="7"/>
  <c r="N27" i="7"/>
  <c r="M27" i="7"/>
  <c r="L27" i="7"/>
  <c r="K27" i="7"/>
  <c r="J27" i="7"/>
  <c r="I27" i="7"/>
  <c r="H27" i="7"/>
  <c r="G27" i="7"/>
  <c r="F27" i="7"/>
  <c r="E27" i="7"/>
  <c r="D27" i="7"/>
  <c r="C27" i="7"/>
  <c r="V26" i="7"/>
  <c r="V25" i="7"/>
  <c r="V24" i="7"/>
  <c r="V23" i="7"/>
  <c r="V22" i="7"/>
  <c r="V21" i="7"/>
  <c r="V20" i="7"/>
  <c r="V19" i="7"/>
  <c r="V18" i="7"/>
  <c r="V17" i="7"/>
  <c r="V16" i="7"/>
  <c r="V15" i="7"/>
  <c r="V14" i="7"/>
  <c r="V13" i="7"/>
  <c r="V12" i="7"/>
  <c r="V11" i="7"/>
  <c r="V10" i="7"/>
  <c r="V9" i="7"/>
  <c r="V8" i="7"/>
  <c r="V7" i="7"/>
  <c r="U6" i="7"/>
  <c r="T6" i="7"/>
  <c r="S6" i="7"/>
  <c r="R6" i="7"/>
  <c r="Q6" i="7"/>
  <c r="P6" i="7"/>
  <c r="O6" i="7"/>
  <c r="N6" i="7"/>
  <c r="M6" i="7"/>
  <c r="L6" i="7"/>
  <c r="K6" i="7"/>
  <c r="J6" i="7"/>
  <c r="I6" i="7"/>
  <c r="H6" i="7"/>
  <c r="G6" i="7"/>
  <c r="F6" i="7"/>
  <c r="E6" i="7"/>
  <c r="D6" i="7"/>
  <c r="C6" i="7"/>
  <c r="G67" i="7" l="1"/>
  <c r="G68" i="7" s="1"/>
  <c r="K67" i="7"/>
  <c r="O67" i="7"/>
  <c r="O68" i="7" s="1"/>
  <c r="S67" i="7"/>
  <c r="S68" i="7" s="1"/>
  <c r="C67" i="7"/>
  <c r="C68" i="7" s="1"/>
  <c r="D67" i="7"/>
  <c r="P74" i="7" s="1"/>
  <c r="H67" i="7"/>
  <c r="P78" i="7" s="1"/>
  <c r="L67" i="7"/>
  <c r="P82" i="7" s="1"/>
  <c r="P67" i="7"/>
  <c r="P86" i="7" s="1"/>
  <c r="T67" i="7"/>
  <c r="P90" i="7" s="1"/>
  <c r="V38" i="7"/>
  <c r="F67" i="7"/>
  <c r="F68" i="7" s="1"/>
  <c r="J67" i="7"/>
  <c r="P80" i="7" s="1"/>
  <c r="N67" i="7"/>
  <c r="R67" i="7"/>
  <c r="P88" i="7" s="1"/>
  <c r="V6" i="7"/>
  <c r="V60" i="7"/>
  <c r="V53" i="7"/>
  <c r="V67" i="7"/>
  <c r="H91" i="7"/>
  <c r="E67" i="7"/>
  <c r="P75" i="7" s="1"/>
  <c r="I67" i="7"/>
  <c r="I68" i="7" s="1"/>
  <c r="M67" i="7"/>
  <c r="P83" i="7" s="1"/>
  <c r="Q67" i="7"/>
  <c r="Q68" i="7" s="1"/>
  <c r="U67" i="7"/>
  <c r="P91" i="7" s="1"/>
  <c r="K68" i="7"/>
  <c r="P81" i="7"/>
  <c r="E68" i="7"/>
  <c r="P79" i="7"/>
  <c r="M68" i="7"/>
  <c r="P84" i="7"/>
  <c r="N68" i="7"/>
  <c r="T68" i="7"/>
  <c r="H73" i="7"/>
  <c r="H74" i="7"/>
  <c r="H75" i="7"/>
  <c r="H76" i="7"/>
  <c r="H77" i="7"/>
  <c r="D68" i="7"/>
  <c r="V27" i="7"/>
  <c r="H78" i="7"/>
  <c r="H79" i="7"/>
  <c r="H80" i="7"/>
  <c r="H81" i="7"/>
  <c r="H82" i="7"/>
  <c r="H83" i="7"/>
  <c r="H84" i="7"/>
  <c r="H85" i="7"/>
  <c r="H86" i="7"/>
  <c r="H87" i="7"/>
  <c r="H88" i="7"/>
  <c r="H89" i="7"/>
  <c r="H90" i="7"/>
  <c r="P85" i="7" l="1"/>
  <c r="H68" i="7"/>
  <c r="J68" i="7"/>
  <c r="P77" i="7"/>
  <c r="P89" i="7"/>
  <c r="P73" i="7"/>
  <c r="P68" i="7"/>
  <c r="L68" i="7"/>
  <c r="R68" i="7"/>
  <c r="U68" i="7"/>
  <c r="P76" i="7"/>
  <c r="P87" i="7"/>
  <c r="J77" i="7"/>
  <c r="H92" i="7"/>
  <c r="I81" i="7" s="1"/>
  <c r="Q87" i="7" l="1"/>
  <c r="Q73" i="7"/>
  <c r="Q80" i="7"/>
  <c r="I83" i="7"/>
  <c r="I74" i="7"/>
  <c r="Q91" i="7"/>
  <c r="I85" i="7"/>
  <c r="I76" i="7"/>
  <c r="I86" i="7"/>
  <c r="I73" i="7"/>
  <c r="Q85" i="7"/>
  <c r="Q88" i="7"/>
  <c r="I78" i="7"/>
  <c r="I75" i="7"/>
  <c r="Q75" i="7"/>
  <c r="Q84" i="7"/>
  <c r="I84" i="7"/>
  <c r="I77" i="7"/>
  <c r="I87" i="7"/>
  <c r="Q79" i="7"/>
  <c r="Q77" i="7"/>
  <c r="I82" i="7"/>
  <c r="I79" i="7"/>
  <c r="Q83" i="7"/>
  <c r="Q89" i="7"/>
  <c r="I88" i="7"/>
  <c r="Q92" i="7"/>
  <c r="Q74" i="7"/>
  <c r="Q86" i="7"/>
  <c r="I91" i="7"/>
  <c r="Q90" i="7"/>
  <c r="Q78" i="7"/>
  <c r="Q82" i="7"/>
  <c r="I90" i="7"/>
  <c r="Q81" i="7"/>
  <c r="Q76" i="7"/>
  <c r="I80" i="7"/>
  <c r="I89" i="7"/>
  <c r="E60" i="8" l="1"/>
  <c r="V26" i="8" l="1"/>
  <c r="C6" i="8" l="1"/>
  <c r="D6" i="8"/>
  <c r="E6" i="8"/>
  <c r="F6" i="8"/>
  <c r="G6" i="8"/>
  <c r="H6" i="8"/>
  <c r="I6" i="8"/>
  <c r="J6" i="8"/>
  <c r="K6" i="8"/>
  <c r="L6" i="8"/>
  <c r="M6" i="8"/>
  <c r="N6" i="8"/>
  <c r="O6" i="8"/>
  <c r="P6" i="8"/>
  <c r="Q6" i="8"/>
  <c r="R6" i="8"/>
  <c r="S6" i="8"/>
  <c r="T6" i="8"/>
  <c r="U6" i="8"/>
  <c r="V7" i="8"/>
  <c r="V8" i="8"/>
  <c r="V9" i="8"/>
  <c r="V10" i="8"/>
  <c r="V11" i="8"/>
  <c r="V12" i="8"/>
  <c r="V13" i="8"/>
  <c r="V14" i="8"/>
  <c r="V15" i="8"/>
  <c r="V16" i="8"/>
  <c r="V17" i="8"/>
  <c r="V18" i="8"/>
  <c r="V19" i="8"/>
  <c r="V20" i="8"/>
  <c r="V21" i="8"/>
  <c r="V22" i="8"/>
  <c r="V23" i="8"/>
  <c r="V24" i="8"/>
  <c r="V25" i="8"/>
  <c r="C27" i="8"/>
  <c r="D27" i="8"/>
  <c r="E27" i="8"/>
  <c r="F27" i="8"/>
  <c r="G27" i="8"/>
  <c r="H27" i="8"/>
  <c r="I27" i="8"/>
  <c r="J27" i="8"/>
  <c r="K27" i="8"/>
  <c r="L27" i="8"/>
  <c r="M27" i="8"/>
  <c r="N27" i="8"/>
  <c r="O27" i="8"/>
  <c r="P27" i="8"/>
  <c r="Q27" i="8"/>
  <c r="R27" i="8"/>
  <c r="S27" i="8"/>
  <c r="T27" i="8"/>
  <c r="U27" i="8"/>
  <c r="V28" i="8"/>
  <c r="V29" i="8"/>
  <c r="V30" i="8"/>
  <c r="V31" i="8"/>
  <c r="V32" i="8"/>
  <c r="V33" i="8"/>
  <c r="V34" i="8"/>
  <c r="V35" i="8"/>
  <c r="V36" i="8"/>
  <c r="V37" i="8"/>
  <c r="C38" i="8"/>
  <c r="D38" i="8"/>
  <c r="E38" i="8"/>
  <c r="F38" i="8"/>
  <c r="G38" i="8"/>
  <c r="H38" i="8"/>
  <c r="I38" i="8"/>
  <c r="J38" i="8"/>
  <c r="K38" i="8"/>
  <c r="L38" i="8"/>
  <c r="M38" i="8"/>
  <c r="N38" i="8"/>
  <c r="O38" i="8"/>
  <c r="P38" i="8"/>
  <c r="Q38" i="8"/>
  <c r="R38" i="8"/>
  <c r="S38" i="8"/>
  <c r="T38" i="8"/>
  <c r="U38" i="8"/>
  <c r="V39" i="8"/>
  <c r="V40" i="8"/>
  <c r="V41" i="8"/>
  <c r="V42" i="8"/>
  <c r="V43" i="8"/>
  <c r="V44" i="8"/>
  <c r="V45" i="8"/>
  <c r="V46" i="8"/>
  <c r="V47" i="8"/>
  <c r="V48" i="8"/>
  <c r="V49" i="8"/>
  <c r="V50" i="8"/>
  <c r="V51" i="8"/>
  <c r="V52" i="8"/>
  <c r="V27" i="8" l="1"/>
  <c r="V38" i="8"/>
  <c r="V6" i="8"/>
  <c r="V66" i="8"/>
  <c r="V65" i="8"/>
  <c r="V64" i="8"/>
  <c r="V63" i="8"/>
  <c r="V62" i="8"/>
  <c r="V61" i="8"/>
  <c r="U60" i="8"/>
  <c r="T60" i="8"/>
  <c r="S60" i="8"/>
  <c r="R60" i="8"/>
  <c r="Q60" i="8"/>
  <c r="P60" i="8"/>
  <c r="O60" i="8"/>
  <c r="N60" i="8"/>
  <c r="M60" i="8"/>
  <c r="L60" i="8"/>
  <c r="K60" i="8"/>
  <c r="J60" i="8"/>
  <c r="I60" i="8"/>
  <c r="H60" i="8"/>
  <c r="G60" i="8"/>
  <c r="F60" i="8"/>
  <c r="D60" i="8"/>
  <c r="C60" i="8"/>
  <c r="V59" i="8"/>
  <c r="V58" i="8"/>
  <c r="V57" i="8"/>
  <c r="V56" i="8"/>
  <c r="V55" i="8"/>
  <c r="V54" i="8"/>
  <c r="U53" i="8"/>
  <c r="T53" i="8"/>
  <c r="S53" i="8"/>
  <c r="R53" i="8"/>
  <c r="Q53" i="8"/>
  <c r="P53" i="8"/>
  <c r="O53" i="8"/>
  <c r="N53" i="8"/>
  <c r="M53" i="8"/>
  <c r="L53" i="8"/>
  <c r="L67" i="8" s="1"/>
  <c r="P82" i="8" s="1"/>
  <c r="K53" i="8"/>
  <c r="K67" i="8" s="1"/>
  <c r="J53" i="8"/>
  <c r="I53" i="8"/>
  <c r="H53" i="8"/>
  <c r="G53" i="8"/>
  <c r="F53" i="8"/>
  <c r="E53" i="8"/>
  <c r="E67" i="8" s="1"/>
  <c r="D53" i="8"/>
  <c r="C53" i="8"/>
  <c r="V67" i="8" l="1"/>
  <c r="Q67" i="8"/>
  <c r="P87" i="8" s="1"/>
  <c r="M67" i="8"/>
  <c r="P83" i="8" s="1"/>
  <c r="C67" i="8"/>
  <c r="C68" i="8" s="1"/>
  <c r="U67" i="8"/>
  <c r="P91" i="8" s="1"/>
  <c r="S67" i="8"/>
  <c r="S68" i="8" s="1"/>
  <c r="O67" i="8"/>
  <c r="P85" i="8" s="1"/>
  <c r="G67" i="8"/>
  <c r="P77" i="8" s="1"/>
  <c r="D67" i="8"/>
  <c r="P74" i="8" s="1"/>
  <c r="T67" i="8"/>
  <c r="P90" i="8" s="1"/>
  <c r="H67" i="8"/>
  <c r="P78" i="8" s="1"/>
  <c r="J67" i="8"/>
  <c r="P80" i="8" s="1"/>
  <c r="I67" i="8"/>
  <c r="P79" i="8" s="1"/>
  <c r="F67" i="8"/>
  <c r="F68" i="8" s="1"/>
  <c r="R67" i="8"/>
  <c r="P88" i="8" s="1"/>
  <c r="N67" i="8"/>
  <c r="N68" i="8" s="1"/>
  <c r="P67" i="8"/>
  <c r="P86" i="8" s="1"/>
  <c r="V53" i="8"/>
  <c r="H91" i="8"/>
  <c r="V60" i="8"/>
  <c r="E68" i="8"/>
  <c r="P75" i="8"/>
  <c r="K68" i="8"/>
  <c r="P81" i="8"/>
  <c r="L68" i="8"/>
  <c r="H73" i="8"/>
  <c r="H74" i="8"/>
  <c r="H75" i="8"/>
  <c r="H76" i="8"/>
  <c r="H77" i="8"/>
  <c r="H78" i="8"/>
  <c r="H79" i="8"/>
  <c r="H80" i="8"/>
  <c r="H81" i="8"/>
  <c r="H82" i="8"/>
  <c r="H83" i="8"/>
  <c r="H84" i="8"/>
  <c r="H85" i="8"/>
  <c r="H86" i="8"/>
  <c r="H87" i="8"/>
  <c r="H88" i="8"/>
  <c r="H89" i="8"/>
  <c r="H90" i="8"/>
  <c r="U68" i="8" l="1"/>
  <c r="Q68" i="8"/>
  <c r="O68" i="8"/>
  <c r="M68" i="8"/>
  <c r="H68" i="8"/>
  <c r="G68" i="8"/>
  <c r="P73" i="8"/>
  <c r="P89" i="8"/>
  <c r="P84" i="8"/>
  <c r="J68" i="8"/>
  <c r="I68" i="8"/>
  <c r="D68" i="8"/>
  <c r="T68" i="8"/>
  <c r="P76" i="8"/>
  <c r="R68" i="8"/>
  <c r="P68" i="8"/>
  <c r="H92" i="8"/>
  <c r="Q85" i="8" s="1"/>
  <c r="J77" i="8"/>
  <c r="C6" i="4"/>
  <c r="D6" i="4"/>
  <c r="E6" i="4"/>
  <c r="F6" i="4"/>
  <c r="G6" i="4"/>
  <c r="H6" i="4"/>
  <c r="I6" i="4"/>
  <c r="J6" i="4"/>
  <c r="K6" i="4"/>
  <c r="L6" i="4"/>
  <c r="M6" i="4"/>
  <c r="N6" i="4"/>
  <c r="O6" i="4"/>
  <c r="P6" i="4"/>
  <c r="Q6" i="4"/>
  <c r="R6" i="4"/>
  <c r="S6" i="4"/>
  <c r="T6" i="4"/>
  <c r="U6" i="4"/>
  <c r="V7" i="4"/>
  <c r="V8" i="4"/>
  <c r="V9" i="4"/>
  <c r="V10" i="4"/>
  <c r="V11" i="4"/>
  <c r="V12" i="4"/>
  <c r="V13" i="4"/>
  <c r="V14" i="4"/>
  <c r="V15" i="4"/>
  <c r="V16" i="4"/>
  <c r="V17" i="4"/>
  <c r="V18" i="4"/>
  <c r="V19" i="4"/>
  <c r="V20" i="4"/>
  <c r="V21" i="4"/>
  <c r="V22" i="4"/>
  <c r="V23" i="4"/>
  <c r="V24" i="4"/>
  <c r="V25" i="4"/>
  <c r="V26" i="4"/>
  <c r="C27" i="4"/>
  <c r="D27" i="4"/>
  <c r="E27" i="4"/>
  <c r="F27" i="4"/>
  <c r="G27" i="4"/>
  <c r="H27" i="4"/>
  <c r="I27" i="4"/>
  <c r="J27" i="4"/>
  <c r="K27" i="4"/>
  <c r="L27" i="4"/>
  <c r="M27" i="4"/>
  <c r="N27" i="4"/>
  <c r="O27" i="4"/>
  <c r="P27" i="4"/>
  <c r="Q27" i="4"/>
  <c r="R27" i="4"/>
  <c r="S27" i="4"/>
  <c r="T27" i="4"/>
  <c r="U27" i="4"/>
  <c r="V28" i="4"/>
  <c r="V29" i="4"/>
  <c r="V30" i="4"/>
  <c r="V31" i="4"/>
  <c r="V32" i="4"/>
  <c r="V33" i="4"/>
  <c r="V34" i="4"/>
  <c r="V35" i="4"/>
  <c r="V36" i="4"/>
  <c r="V37" i="4"/>
  <c r="C38" i="4"/>
  <c r="D38" i="4"/>
  <c r="E38" i="4"/>
  <c r="F38" i="4"/>
  <c r="G38" i="4"/>
  <c r="H38" i="4"/>
  <c r="I38" i="4"/>
  <c r="J38" i="4"/>
  <c r="K38" i="4"/>
  <c r="L38" i="4"/>
  <c r="M38" i="4"/>
  <c r="N38" i="4"/>
  <c r="O38" i="4"/>
  <c r="P38" i="4"/>
  <c r="Q38" i="4"/>
  <c r="R38" i="4"/>
  <c r="S38" i="4"/>
  <c r="T38" i="4"/>
  <c r="U38" i="4"/>
  <c r="V39" i="4"/>
  <c r="V40" i="4"/>
  <c r="V41" i="4"/>
  <c r="V42" i="4"/>
  <c r="V43" i="4"/>
  <c r="V44" i="4"/>
  <c r="V45" i="4"/>
  <c r="V46" i="4"/>
  <c r="V47" i="4"/>
  <c r="V48" i="4"/>
  <c r="V49" i="4"/>
  <c r="V50" i="4"/>
  <c r="V51" i="4"/>
  <c r="V52" i="4"/>
  <c r="C53" i="4"/>
  <c r="D53" i="4"/>
  <c r="E53" i="4"/>
  <c r="F53" i="4"/>
  <c r="G53" i="4"/>
  <c r="H53" i="4"/>
  <c r="I53" i="4"/>
  <c r="J53" i="4"/>
  <c r="K53" i="4"/>
  <c r="L53" i="4"/>
  <c r="M53" i="4"/>
  <c r="N53" i="4"/>
  <c r="O53" i="4"/>
  <c r="P53" i="4"/>
  <c r="Q53" i="4"/>
  <c r="R53" i="4"/>
  <c r="S53" i="4"/>
  <c r="T53" i="4"/>
  <c r="U53" i="4"/>
  <c r="V54" i="4"/>
  <c r="V55" i="4"/>
  <c r="V56" i="4"/>
  <c r="V57" i="4"/>
  <c r="V58" i="4"/>
  <c r="V59" i="4"/>
  <c r="C60" i="4"/>
  <c r="D60" i="4"/>
  <c r="F60" i="4"/>
  <c r="G60" i="4"/>
  <c r="H60" i="4"/>
  <c r="I60" i="4"/>
  <c r="J60" i="4"/>
  <c r="K60" i="4"/>
  <c r="L60" i="4"/>
  <c r="M60" i="4"/>
  <c r="N60" i="4"/>
  <c r="O60" i="4"/>
  <c r="P60" i="4"/>
  <c r="Q60" i="4"/>
  <c r="R60" i="4"/>
  <c r="S60" i="4"/>
  <c r="T60" i="4"/>
  <c r="U60" i="4"/>
  <c r="V61" i="4"/>
  <c r="V62" i="4"/>
  <c r="V63" i="4"/>
  <c r="V64" i="4"/>
  <c r="V65" i="4"/>
  <c r="V66" i="4"/>
  <c r="Q91" i="8" l="1"/>
  <c r="Q78" i="8"/>
  <c r="Q86" i="8"/>
  <c r="I91" i="8"/>
  <c r="Q90" i="8"/>
  <c r="Q82" i="8"/>
  <c r="Q74" i="8"/>
  <c r="Q79" i="8"/>
  <c r="I80" i="8"/>
  <c r="I73" i="8"/>
  <c r="I85" i="8"/>
  <c r="I79" i="8"/>
  <c r="Q81" i="8"/>
  <c r="Q84" i="8"/>
  <c r="I86" i="8"/>
  <c r="Q75" i="8"/>
  <c r="I83" i="8"/>
  <c r="Q80" i="8"/>
  <c r="Q89" i="8"/>
  <c r="I88" i="8"/>
  <c r="I78" i="8"/>
  <c r="I76" i="8"/>
  <c r="Q73" i="8"/>
  <c r="I89" i="8"/>
  <c r="Q76" i="8"/>
  <c r="I82" i="8"/>
  <c r="Q87" i="8"/>
  <c r="I84" i="8"/>
  <c r="Q83" i="8"/>
  <c r="Q77" i="8"/>
  <c r="I77" i="8"/>
  <c r="I90" i="8"/>
  <c r="I74" i="8"/>
  <c r="I87" i="8"/>
  <c r="Q88" i="8"/>
  <c r="I75" i="8"/>
  <c r="I81" i="8"/>
  <c r="Q67" i="4"/>
  <c r="P87" i="4" s="1"/>
  <c r="M67" i="4"/>
  <c r="M68" i="4" s="1"/>
  <c r="U67" i="4"/>
  <c r="P91" i="4" s="1"/>
  <c r="I67" i="4"/>
  <c r="I68" i="4" s="1"/>
  <c r="K67" i="4"/>
  <c r="E67" i="4"/>
  <c r="T67" i="4"/>
  <c r="R67" i="4"/>
  <c r="N67" i="4"/>
  <c r="J67" i="4"/>
  <c r="F67" i="4"/>
  <c r="G67" i="4"/>
  <c r="P67" i="4"/>
  <c r="L67" i="4"/>
  <c r="H67" i="4"/>
  <c r="D67" i="4"/>
  <c r="C67" i="4"/>
  <c r="V60" i="4"/>
  <c r="V27" i="4"/>
  <c r="S67" i="4"/>
  <c r="O67" i="4"/>
  <c r="V38" i="4"/>
  <c r="V6" i="4"/>
  <c r="V67" i="4"/>
  <c r="V53" i="4"/>
  <c r="P83" i="4" l="1"/>
  <c r="Q68" i="4"/>
  <c r="P79" i="4"/>
  <c r="U68" i="4"/>
  <c r="S68" i="4"/>
  <c r="P89" i="4"/>
  <c r="G68" i="4"/>
  <c r="P77" i="4"/>
  <c r="R68" i="4"/>
  <c r="P88" i="4"/>
  <c r="H68" i="4"/>
  <c r="P78" i="4"/>
  <c r="T68" i="4"/>
  <c r="P90" i="4"/>
  <c r="L68" i="4"/>
  <c r="P82" i="4"/>
  <c r="J68" i="4"/>
  <c r="P80" i="4"/>
  <c r="E68" i="4"/>
  <c r="P75" i="4"/>
  <c r="D68" i="4"/>
  <c r="P74" i="4"/>
  <c r="F68" i="4"/>
  <c r="P76" i="4"/>
  <c r="K68" i="4"/>
  <c r="P81" i="4"/>
  <c r="O68" i="4"/>
  <c r="P85" i="4"/>
  <c r="C68" i="4"/>
  <c r="P73" i="4"/>
  <c r="P68" i="4"/>
  <c r="P86" i="4"/>
  <c r="N68" i="4"/>
  <c r="P84" i="4"/>
  <c r="H84" i="4" l="1"/>
  <c r="H90" i="4"/>
  <c r="H81" i="4"/>
  <c r="H80" i="4"/>
  <c r="H88" i="4"/>
  <c r="H73" i="4"/>
  <c r="H75" i="4"/>
  <c r="H79" i="4"/>
  <c r="H83" i="4"/>
  <c r="H87" i="4"/>
  <c r="H91" i="4"/>
  <c r="H74" i="4"/>
  <c r="H77" i="4"/>
  <c r="H85" i="4"/>
  <c r="H89" i="4"/>
  <c r="H76" i="4"/>
  <c r="H78" i="4"/>
  <c r="H82" i="4"/>
  <c r="H86" i="4"/>
  <c r="J77" i="4" l="1"/>
  <c r="H92" i="4"/>
  <c r="I73" i="4" l="1"/>
  <c r="Q91" i="4"/>
  <c r="Q90" i="4"/>
  <c r="I74" i="4"/>
  <c r="I89" i="4"/>
  <c r="I76" i="4"/>
  <c r="I80" i="4"/>
  <c r="I88" i="4"/>
  <c r="I77" i="4"/>
  <c r="Q92" i="4"/>
  <c r="Q86" i="4"/>
  <c r="Q82" i="4"/>
  <c r="Q78" i="4"/>
  <c r="Q74" i="4"/>
  <c r="Q88" i="4"/>
  <c r="Q84" i="4"/>
  <c r="Q76" i="4"/>
  <c r="Q89" i="4"/>
  <c r="Q81" i="4"/>
  <c r="Q77" i="4"/>
  <c r="Q87" i="4"/>
  <c r="Q83" i="4"/>
  <c r="Q79" i="4"/>
  <c r="Q75" i="4"/>
  <c r="Q80" i="4"/>
  <c r="Q85" i="4"/>
  <c r="Q73" i="4"/>
  <c r="I84" i="4"/>
  <c r="I90" i="4"/>
  <c r="I78" i="4"/>
  <c r="I87" i="4"/>
  <c r="I75" i="4"/>
  <c r="I85" i="4"/>
  <c r="I91" i="4"/>
  <c r="I79" i="4"/>
  <c r="I83" i="4"/>
  <c r="I81" i="4"/>
  <c r="I82" i="4"/>
  <c r="I86" i="4"/>
</calcChain>
</file>

<file path=xl/sharedStrings.xml><?xml version="1.0" encoding="utf-8"?>
<sst xmlns="http://schemas.openxmlformats.org/spreadsheetml/2006/main" count="5663" uniqueCount="282">
  <si>
    <t>Quy 
hoạch</t>
  </si>
  <si>
    <t>Giao 
thông</t>
  </si>
  <si>
    <t>Thủy 
lợi</t>
  </si>
  <si>
    <t>Điện</t>
  </si>
  <si>
    <t>Trường 
học</t>
  </si>
  <si>
    <t>Cơ sở vật chất văn hóa</t>
  </si>
  <si>
    <t>Nhà
 ở 
dân 
cư</t>
  </si>
  <si>
    <t>Thu 
nhập</t>
  </si>
  <si>
    <t>Hộ 
nghèo</t>
  </si>
  <si>
    <t>Y
 tế</t>
  </si>
  <si>
    <t>Văn 
hóa</t>
  </si>
  <si>
    <t xml:space="preserve"> Số tiêu 
chí đạt 
hiện tại
</t>
  </si>
  <si>
    <t>TÊN XÃ</t>
  </si>
  <si>
    <t>H.CỦ CHI</t>
  </si>
  <si>
    <t>Tân Thông Hội</t>
  </si>
  <si>
    <t>Thái Mỹ</t>
  </si>
  <si>
    <t>Phước Thạnh</t>
  </si>
  <si>
    <t>Nhuận Đức</t>
  </si>
  <si>
    <t>Trung An</t>
  </si>
  <si>
    <t>An Nhơn Tây</t>
  </si>
  <si>
    <t>Tân Thạnh Đông</t>
  </si>
  <si>
    <t>Tân Thạnh Tây</t>
  </si>
  <si>
    <t>Tân Phú Trung</t>
  </si>
  <si>
    <t>Trung Lập Thượng</t>
  </si>
  <si>
    <t>Trung Lập Hạ</t>
  </si>
  <si>
    <t>Tân An Hội</t>
  </si>
  <si>
    <t>Phước Vĩnh An</t>
  </si>
  <si>
    <t>Phước Hiệp</t>
  </si>
  <si>
    <t>Phú Hòa Đông</t>
  </si>
  <si>
    <t>Phú Mỹ Hưng</t>
  </si>
  <si>
    <t>Phạm Văn Cội</t>
  </si>
  <si>
    <t>Bình Mỹ</t>
  </si>
  <si>
    <t>An Phú</t>
  </si>
  <si>
    <t>Hòa Phú</t>
  </si>
  <si>
    <t>H.HÓC MÔN</t>
  </si>
  <si>
    <t>Xuân Thới Thượng</t>
  </si>
  <si>
    <t>Nhị Bình</t>
  </si>
  <si>
    <t>Thới Tam Thôn</t>
  </si>
  <si>
    <t>Xuân Thới Sơn</t>
  </si>
  <si>
    <t>Đông Thạnh</t>
  </si>
  <si>
    <t>Tân Hiệp</t>
  </si>
  <si>
    <t>Bà Điểm</t>
  </si>
  <si>
    <t>Tân Thới Nhì</t>
  </si>
  <si>
    <t>Tân Xuân</t>
  </si>
  <si>
    <t>Xuân Thới Đông</t>
  </si>
  <si>
    <t>H.BÌNH CHÁNH</t>
  </si>
  <si>
    <t>Tân Nhựt</t>
  </si>
  <si>
    <t>Bình Lợi</t>
  </si>
  <si>
    <t>Qui Đức</t>
  </si>
  <si>
    <t>Đa Phước</t>
  </si>
  <si>
    <t>Bình Chánh</t>
  </si>
  <si>
    <t>Phong Phú</t>
  </si>
  <si>
    <t>An Phú Tây</t>
  </si>
  <si>
    <t>Tân Kiên</t>
  </si>
  <si>
    <t>Phạm Văn Hai</t>
  </si>
  <si>
    <t>Lê Minh Xuân</t>
  </si>
  <si>
    <t>Vĩnh Lộc A</t>
  </si>
  <si>
    <t>Vĩnh Lộc B</t>
  </si>
  <si>
    <t>Tân Quý Tây</t>
  </si>
  <si>
    <t>Hưng Long</t>
  </si>
  <si>
    <t>H.NHÀ BÈ</t>
  </si>
  <si>
    <t>Nhơn Đức</t>
  </si>
  <si>
    <t>Long Thới</t>
  </si>
  <si>
    <t>Phước Lộc</t>
  </si>
  <si>
    <t>Hiệp Phước</t>
  </si>
  <si>
    <t>Phú Xuân</t>
  </si>
  <si>
    <t>Phước Kiển</t>
  </si>
  <si>
    <t>H.CẦN GIỜ</t>
  </si>
  <si>
    <t>Lý Nhơn</t>
  </si>
  <si>
    <t>Bình Khánh</t>
  </si>
  <si>
    <t>Tam Thôn Hiệp</t>
  </si>
  <si>
    <t>An Thới Đông</t>
  </si>
  <si>
    <t>Long Hòa</t>
  </si>
  <si>
    <t>Thạnh An</t>
  </si>
  <si>
    <t>Hiện đạt</t>
  </si>
  <si>
    <t>Tỷ lệ %/56 xã</t>
  </si>
  <si>
    <t>TT</t>
  </si>
  <si>
    <t>Nội dung</t>
  </si>
  <si>
    <t>Hiện tại</t>
  </si>
  <si>
    <t>Số xã
 đạt</t>
  </si>
  <si>
    <t>Tỷ lệ 
(%)</t>
  </si>
  <si>
    <t>Số xã đạt 03 tiêu chí:</t>
  </si>
  <si>
    <t>Số xã đạt 04 tiêu chí:</t>
  </si>
  <si>
    <t>Số xã đạt 05 tiêu chí:</t>
  </si>
  <si>
    <t>Số xã đạt 06 tiêu chí:</t>
  </si>
  <si>
    <t>Số xã đạt 07 tiêu chí:</t>
  </si>
  <si>
    <t>Số xã đạt 08 tiêu chí:</t>
  </si>
  <si>
    <t>Số xã đạt 09 tiêu chí:</t>
  </si>
  <si>
    <t>Số xã đạt 10 tiêu chí:</t>
  </si>
  <si>
    <t>Số xã đạt 11 tiêu chí:</t>
  </si>
  <si>
    <t>Số xã đạt 12 tiêu chí:</t>
  </si>
  <si>
    <t>Số xã đạt 13 tiêu chí:</t>
  </si>
  <si>
    <t>Số xã đạt 14 tiêu chí:</t>
  </si>
  <si>
    <t>Số xã đạt 15 tiêu chí:</t>
  </si>
  <si>
    <t>Số xã đạt 16 tiêu chí:</t>
  </si>
  <si>
    <t>Số xã đạt 17 tiêu chí:</t>
  </si>
  <si>
    <t>Số xã đạt 18 tiêu chí:</t>
  </si>
  <si>
    <t>Số xã đạt 19 tiêu chí:</t>
  </si>
  <si>
    <t>TỔNG CỘNG (XÃ)</t>
  </si>
  <si>
    <t>X</t>
  </si>
  <si>
    <t>Thông tin và truyền thông</t>
  </si>
  <si>
    <t>Cơ sở hạ tầng thương mại nông thôn</t>
  </si>
  <si>
    <t>Lao động có việc làm</t>
  </si>
  <si>
    <t>Tỏ chức sản xuất</t>
  </si>
  <si>
    <t>Giáo dục và Đào tạo</t>
  </si>
  <si>
    <t>Môi trường và an toàn thực phẩm</t>
  </si>
  <si>
    <t>Hệ thống chính trị và tiếp cận pháp luật</t>
  </si>
  <si>
    <t>Quốc phòng và An ninh</t>
  </si>
  <si>
    <t>TÊN TIÊU CHÍ</t>
  </si>
  <si>
    <t>Số xã đạt tiêu chí số 01:</t>
  </si>
  <si>
    <t>Số xã đạt tiêu chí số 02:</t>
  </si>
  <si>
    <t>Số xã đạt tiêu chí số 03:</t>
  </si>
  <si>
    <t>Số xã đạt tiêu chí số 04:</t>
  </si>
  <si>
    <t>Số xã đạt tiêu chí số 05:</t>
  </si>
  <si>
    <t>Số xã đạt tiêu chí số 06:</t>
  </si>
  <si>
    <t>Số xã đạt tiêu chí số 07:</t>
  </si>
  <si>
    <t>Số xã đạt tiêu chí số 08:</t>
  </si>
  <si>
    <t>Số xã đạt tiêu chí số 09:</t>
  </si>
  <si>
    <t>Số xã đạt tiêu chí số 10:</t>
  </si>
  <si>
    <t>Số xã đạt tiêu chí số 11:</t>
  </si>
  <si>
    <t>Số xã đạt tiêu chí số 12:</t>
  </si>
  <si>
    <t>Số xã đạt tiêu chí số 13:</t>
  </si>
  <si>
    <t>Số xã đạt tiêu chí số 14:</t>
  </si>
  <si>
    <t>Số xã đạt tiêu chí số 15:</t>
  </si>
  <si>
    <t>Số xã đạt tiêu chí số 16:</t>
  </si>
  <si>
    <t>Số xã đạt tiêu chí số 17:</t>
  </si>
  <si>
    <t>Số xã đạt tiêu chí số 18:</t>
  </si>
  <si>
    <t>Số xã đạt tiêu chí số 19:</t>
  </si>
  <si>
    <t>Số xã đạt 02 tiêu chí:</t>
  </si>
  <si>
    <t>Số tiêu chí đạt bình quân/xã: 8/19 tiêu chí</t>
  </si>
  <si>
    <t>Số xã đạt 01 tiêu chí:</t>
  </si>
  <si>
    <r>
      <t xml:space="preserve">PHỤ LỤC: BẢNG TỔNG HỢP CÁC TIÊU CHÍ ĐẠT VỀ XÂY DỰNG NÔNG THÔN MỚI 
THEO BỘ TIÊU CHÍ ĐẶC THÙ VÙNG NÔNG THÔN THÀNH PHỐ HỒ CHÍ MINH GIAI ĐOẠN 2016 - 2020 
</t>
    </r>
    <r>
      <rPr>
        <b/>
        <i/>
        <sz val="11"/>
        <rFont val="Times New Roman"/>
        <family val="1"/>
      </rPr>
      <t>(Theo Quyết định 6182/QĐ-UBND ngày 24/11/2016 - Hiện trạng năm 2016)</t>
    </r>
  </si>
  <si>
    <t>x</t>
  </si>
  <si>
    <t>Số tiêu chí đạt bình quân/xã: 14/19 tiêu chí</t>
  </si>
  <si>
    <t>BẢNG TỔNG HỢP CÁC TIÊU CHÍ ĐẠT VỀ XÂY DỰNG NÔNG THÔN MỚI 
THEO BỘ TIÊU CHÍ ĐẶC THÙ VÙNG NÔNG THÔN THÀNH PHỐ HỒ CHÍ MINH GIAI ĐOẠN 2016 - 2020 
(Theo Quyết định 6182/QĐ-UBND ngày 24/11/2016 - DỰ KIẾN NĂM 2018 )</t>
  </si>
  <si>
    <r>
      <t xml:space="preserve">PHỤ LỤC: BẢNG TỔNG HỢP CÁC TIÊU CHÍ ĐẠT VỀ XÂY DỰNG NÔNG THÔN MỚI 
THEO BỘ TIÊU CHÍ ĐẶC THÙ VÙNG NÔNG THÔN THÀNH PHỐ HỒ CHÍ MINH GIAI ĐOẠN 2016 - 2020 
</t>
    </r>
    <r>
      <rPr>
        <b/>
        <i/>
        <sz val="11"/>
        <rFont val="Times New Roman"/>
        <family val="1"/>
      </rPr>
      <t>(Theo Quyết định 6182/QĐ-UBND ngày 24/11/2016 - Dự kiến năm 2017)</t>
    </r>
  </si>
  <si>
    <t xml:space="preserve"> </t>
  </si>
  <si>
    <t xml:space="preserve">      
                  TÊN TIÊU CHÍ
     TÊN XÃ</t>
  </si>
  <si>
    <t xml:space="preserve">Kết quả tính đến tháng 11//2018
</t>
  </si>
  <si>
    <r>
      <t xml:space="preserve">Y tế -    
</t>
    </r>
    <r>
      <rPr>
        <i/>
        <sz val="9"/>
        <color rgb="FFFF0000"/>
        <rFont val="Times New Roman"/>
        <family val="1"/>
      </rPr>
      <t>(đạt theo phân kỳ năm 2018)</t>
    </r>
  </si>
  <si>
    <t>PHỤ LỤC 5: BẢNG TỔNG HỢP CÁC TIÊU CHÍ ĐẠT VỀ XÂY DỰNG NÔNG THÔN MỚI TẠI 56 XÃ TRÊN ĐỊA BÀN THÀNH PHỐ HỒ CHÍ MINH 
(Tính đến tháng 11 năm 2018)</t>
  </si>
  <si>
    <t>Tỗ chức sản Xuất</t>
  </si>
  <si>
    <t>Số Xã đạt tiêu chí 
đến tháng 11/2018</t>
  </si>
  <si>
    <t>Tỷ lệ %/56 Xã</t>
  </si>
  <si>
    <t>Số Xã
 đạt</t>
  </si>
  <si>
    <t>Số Xã đạt 01 tiêu chí:</t>
  </si>
  <si>
    <t>Số Xã đạt tiêu chí số 01:</t>
  </si>
  <si>
    <t>Số Xã đạt 02 tiêu chí:</t>
  </si>
  <si>
    <t>Số Xã đạt tiêu chí số 02:</t>
  </si>
  <si>
    <t>Số Xã đạt 03 tiêu chí:</t>
  </si>
  <si>
    <t>Số Xã đạt tiêu chí số 03:</t>
  </si>
  <si>
    <t>Số Xã đạt 04 tiêu chí:</t>
  </si>
  <si>
    <t>Số Xã đạt tiêu chí số 04:</t>
  </si>
  <si>
    <t>Số Xã đạt 05 tiêu chí:</t>
  </si>
  <si>
    <t>Số Xã đạt tiêu chí số 05:</t>
  </si>
  <si>
    <t>Số Xã đạt 06 tiêu chí:</t>
  </si>
  <si>
    <t>Số Xã đạt tiêu chí số 06:</t>
  </si>
  <si>
    <t>Số Xã đạt 07 tiêu chí:</t>
  </si>
  <si>
    <t>Số Xã đạt tiêu chí số 07:</t>
  </si>
  <si>
    <t>Số Xã đạt 08 tiêu chí:</t>
  </si>
  <si>
    <t>Số Xã đạt tiêu chí số 08:</t>
  </si>
  <si>
    <t>Số Xã đạt 09 tiêu chí:</t>
  </si>
  <si>
    <t>Số Xã đạt tiêu chí số 09:</t>
  </si>
  <si>
    <t>Số Xã đạt 10 tiêu chí:</t>
  </si>
  <si>
    <t>Số Xã đạt tiêu chí số 10:</t>
  </si>
  <si>
    <t>Số Xã đạt 11 tiêu chí:</t>
  </si>
  <si>
    <t>Số Xã đạt tiêu chí số 11:</t>
  </si>
  <si>
    <t>Số Xã đạt 12 tiêu chí:</t>
  </si>
  <si>
    <t>Số Xã đạt tiêu chí số 12:</t>
  </si>
  <si>
    <t>Số Xã đạt 13 tiêu chí:</t>
  </si>
  <si>
    <t>Số Xã đạt tiêu chí số 13:</t>
  </si>
  <si>
    <t>Số Xã đạt 14 tiêu chí:</t>
  </si>
  <si>
    <t>Số Xã đạt tiêu chí số 14:</t>
  </si>
  <si>
    <t>Số Xã đạt 15 tiêu chí:</t>
  </si>
  <si>
    <t>Số Xã đạt tiêu chí số 15:</t>
  </si>
  <si>
    <t>Số Xã đạt 16 tiêu chí:</t>
  </si>
  <si>
    <t>Số Xã đạt tiêu chí số 16:</t>
  </si>
  <si>
    <t>Số Xã đạt 17 tiêu chí:</t>
  </si>
  <si>
    <t>Số Xã đạt tiêu chí số 17:</t>
  </si>
  <si>
    <t>Số Xã đạt 18 tiêu chí:</t>
  </si>
  <si>
    <t>Số Xã đạt tiêu chí số 18:</t>
  </si>
  <si>
    <t>Số Xã đạt 19 tiêu chí:</t>
  </si>
  <si>
    <t>Số Xã đạt tiêu chí số 19:</t>
  </si>
  <si>
    <r>
      <t xml:space="preserve">Thu 
nhập  - </t>
    </r>
    <r>
      <rPr>
        <i/>
        <sz val="9"/>
        <rFont val="Times New Roman"/>
        <family val="1"/>
      </rPr>
      <t>(đạt theo phân kỳ năm 2</t>
    </r>
    <r>
      <rPr>
        <i/>
        <sz val="9"/>
        <color rgb="FFFF0000"/>
        <rFont val="Times New Roman"/>
        <family val="1"/>
      </rPr>
      <t>017)</t>
    </r>
  </si>
  <si>
    <t>Số tiêu chí đạt tính đến tháng 11/2018 bình quân/Xã:14,6/19 tiêu chí</t>
  </si>
  <si>
    <t>Kết quả đạt tính đến thán 11 năm 2018</t>
  </si>
  <si>
    <t>Kết quả đạt tính đến tháng 11 năm 2018</t>
  </si>
  <si>
    <r>
      <t xml:space="preserve">Thu 
nhập  - </t>
    </r>
    <r>
      <rPr>
        <i/>
        <sz val="9"/>
        <rFont val="Times New Roman"/>
        <family val="1"/>
      </rPr>
      <t>(đạt theo phân kỳ năm 2017)</t>
    </r>
  </si>
  <si>
    <r>
      <t xml:space="preserve">Y tế -    
</t>
    </r>
    <r>
      <rPr>
        <i/>
        <sz val="9"/>
        <rFont val="Times New Roman"/>
        <family val="1"/>
      </rPr>
      <t>(đạt theo phân kỳ năm 2018)</t>
    </r>
  </si>
  <si>
    <t>Số tiêu chí đạt tính đến tháng 11/2018 bình quân/Xã: 14,9/19 tiêu chí</t>
  </si>
  <si>
    <t>Hệ thống chính trị - tiếp cận P.luật</t>
  </si>
  <si>
    <t>(1)</t>
  </si>
  <si>
    <t>(2)</t>
  </si>
  <si>
    <t>(3)</t>
  </si>
  <si>
    <t>(4)</t>
  </si>
  <si>
    <t>(5)</t>
  </si>
  <si>
    <t>(6)</t>
  </si>
  <si>
    <t>(7)</t>
  </si>
  <si>
    <t>(8)</t>
  </si>
  <si>
    <t>(9)</t>
  </si>
  <si>
    <t>(10)</t>
  </si>
  <si>
    <t>(11)</t>
  </si>
  <si>
    <t>(12)</t>
  </si>
  <si>
    <t>(13)</t>
  </si>
  <si>
    <t>(14)</t>
  </si>
  <si>
    <t>(15)</t>
  </si>
  <si>
    <t>(16)</t>
  </si>
  <si>
    <t>(17)</t>
  </si>
  <si>
    <t>(18)</t>
  </si>
  <si>
    <t>(19)</t>
  </si>
  <si>
    <t>(20)</t>
  </si>
  <si>
    <t xml:space="preserve">      
               TÊN TIÊU CHÍ
TÊN XÃ</t>
  </si>
  <si>
    <r>
      <t xml:space="preserve">Thu 
nhập 
</t>
    </r>
    <r>
      <rPr>
        <i/>
        <u/>
        <sz val="11"/>
        <color theme="1"/>
        <rFont val="Times New Roman"/>
        <family val="1"/>
      </rPr>
      <t>(theo phân kỳ năm 2019)</t>
    </r>
  </si>
  <si>
    <r>
      <t xml:space="preserve">Y tế 
</t>
    </r>
    <r>
      <rPr>
        <i/>
        <u/>
        <sz val="11"/>
        <color theme="1"/>
        <rFont val="Times New Roman"/>
        <family val="1"/>
      </rPr>
      <t>(theo phân kỳ năm 2019)</t>
    </r>
  </si>
  <si>
    <t>Huyện</t>
  </si>
  <si>
    <t>BÌNH QUÂN SỐ TIÊU CHÍ ĐẠT/XÃ</t>
  </si>
  <si>
    <t>Giai đoạn 2010 - 2015</t>
  </si>
  <si>
    <t>Giai đoạn 2016 - 2020
(nâng cao chất lượng)</t>
  </si>
  <si>
    <t>7/19</t>
  </si>
  <si>
    <t>19</t>
  </si>
  <si>
    <t>19,00</t>
  </si>
  <si>
    <t>6/19</t>
  </si>
  <si>
    <t>5/19</t>
  </si>
  <si>
    <t>18,79</t>
  </si>
  <si>
    <t>4/19</t>
  </si>
  <si>
    <t>18,83</t>
  </si>
  <si>
    <t>Chung</t>
  </si>
  <si>
    <t>5,6/19</t>
  </si>
  <si>
    <t>18,93/19</t>
  </si>
  <si>
    <t>Chỉ tiêu</t>
  </si>
  <si>
    <t>ĐVT</t>
  </si>
  <si>
    <t>Tổng số xã</t>
  </si>
  <si>
    <t>Xã</t>
  </si>
  <si>
    <t>Số tiêu chí đạt chuẩn bình quân/xã</t>
  </si>
  <si>
    <t>Tiêu chí</t>
  </si>
  <si>
    <t>Số xã đạt theo số lượng tiêu chí</t>
  </si>
  <si>
    <t>- Số xã đạt 19 tiêu chí (đạt chuẩn NTM)</t>
  </si>
  <si>
    <t>- Số xã đạt 15-18 tiêu chí</t>
  </si>
  <si>
    <t>- Số xã đạt 10-14 tiêu chí</t>
  </si>
  <si>
    <t>- Số xã đạt 5-9 tiêu chí</t>
  </si>
  <si>
    <t>- Số xã đạt dưới 5 tiêu chí</t>
  </si>
  <si>
    <t>Số xã đạt theo từng tiêu chí</t>
  </si>
  <si>
    <t>- Tiêu chí 1: Quy hoạch</t>
  </si>
  <si>
    <t>- Tiêu chí 2: Giao thông</t>
  </si>
  <si>
    <t>- Tiêu chí 3: Thủy lợi</t>
  </si>
  <si>
    <t>- Tiêu chí 4: Điện</t>
  </si>
  <si>
    <t>- Tiêu chí 5: Trường học</t>
  </si>
  <si>
    <t>- Tiêu chí 6: Cơ sở vật chất văn hóa</t>
  </si>
  <si>
    <t>- Tiêu chí 7: CSHT thương mại nông thôn</t>
  </si>
  <si>
    <t>- Tiêu chí 8: Thông tin và truyền thông</t>
  </si>
  <si>
    <t>- Tiêu chí 9: Nhà ở dân cư</t>
  </si>
  <si>
    <t>- Tiêu chí 10: Thu nhập</t>
  </si>
  <si>
    <t>- Tiêu chí 11: Hộ nghèo</t>
  </si>
  <si>
    <t>- Tiêu chí 12: Lao động có việc làm</t>
  </si>
  <si>
    <t>- Tiêu chí 13: Tổ chức sản xuất</t>
  </si>
  <si>
    <t>- Tiêu chí 14: Giáo dục và Đào tạo</t>
  </si>
  <si>
    <t>- Tiêu chí 15: Y tế</t>
  </si>
  <si>
    <t>- Tiêu chí 16: Văn hóa</t>
  </si>
  <si>
    <t>- Tiêu chí 17: Môi trường và ATTP</t>
  </si>
  <si>
    <t>- Tiêu chí 18: HTCT và tiếp cận pháp luật</t>
  </si>
  <si>
    <t>- Tiêu chí 19: An ninh quốc phòng</t>
  </si>
  <si>
    <t>Số Xã đạt tiêu chí 
đến tháng 9 năm 2019</t>
  </si>
  <si>
    <t>Tính đến ngày 31/12/2010</t>
  </si>
  <si>
    <t>Tính đến ngày 31/12/2015</t>
  </si>
  <si>
    <t>Củ Chi (20 xã)</t>
  </si>
  <si>
    <t>Hóc Môn (10 xã)</t>
  </si>
  <si>
    <t>Bình chánh (14 xã)</t>
  </si>
  <si>
    <t>Nhà Bè (6 xã)</t>
  </si>
  <si>
    <t>Cần Giờ (6 xã)</t>
  </si>
  <si>
    <t>Tiên độ thực hiện</t>
  </si>
  <si>
    <t>Kết quả tính đến tháng 11/2019</t>
  </si>
  <si>
    <t>Kết quả đạt tính đến tháng 11 năm 2019</t>
  </si>
  <si>
    <t>Tính đến ngày 08/11/2019</t>
  </si>
  <si>
    <t xml:space="preserve"> Tính đến ngày 08/11/2019</t>
  </si>
  <si>
    <t>18,60</t>
  </si>
  <si>
    <t>18,29</t>
  </si>
  <si>
    <t>18,73/19</t>
  </si>
  <si>
    <r>
      <t xml:space="preserve">Ghi chú:
- Giai đoạn 2011-2015: Thành phố có 54/56 xã đạt chuẩn NTM
- Giai đoạn 2016-2020: Thành phố đã ban hành Quyết định số 5039/QĐ-UBND ngày 09 tháng 11 năm 2018 của Ủy ban nhân dân thành phố về việc điều chỉnh, bổ sung Bộ tiêu chí nông thôn mới theo đặc thù vùng nông thôn Thành phố Hồ Chí Minh, giai đoạn 2016 -2020. </t>
    </r>
    <r>
      <rPr>
        <b/>
        <sz val="12"/>
        <color theme="1"/>
        <rFont val="Times New Roman"/>
        <family val="1"/>
      </rPr>
      <t xml:space="preserve">Tính đến nay, bình quân số tiêu chí đạt/xã - trong giai đoạn nâng cao: </t>
    </r>
    <r>
      <rPr>
        <b/>
        <sz val="12"/>
        <color rgb="FFFF0000"/>
        <rFont val="Times New Roman"/>
        <family val="1"/>
      </rPr>
      <t>18,73/19 tiêu chí</t>
    </r>
  </si>
  <si>
    <r>
      <rPr>
        <sz val="12"/>
        <color rgb="FFFF0000"/>
        <rFont val="Times New Roman"/>
        <family val="1"/>
      </rPr>
      <t>18,73</t>
    </r>
    <r>
      <rPr>
        <sz val="12"/>
        <color theme="1"/>
        <rFont val="Times New Roman"/>
        <family val="1"/>
      </rPr>
      <t xml:space="preserve">
(giai đoạn nâng chất)</t>
    </r>
  </si>
  <si>
    <r>
      <t xml:space="preserve">Phụ lục 3a: BẢNG TỔNG HỢP TIẾN ĐỘ THỰC HIỆN 19 TIÊU CHÍ TẠI 56 XÃ XÂY DỰNG NTM TRÊN ĐỊA BÀN THÀNH PHỐ HỒ CHÍ MINH 
</t>
    </r>
    <r>
      <rPr>
        <b/>
        <sz val="14"/>
        <color rgb="FFFF0000"/>
        <rFont val="Times New Roman"/>
        <family val="1"/>
      </rPr>
      <t xml:space="preserve">(Tính đến ngày 08 tháng 11 năm 2019)
</t>
    </r>
    <r>
      <rPr>
        <i/>
        <sz val="14"/>
        <color rgb="FFFF0000"/>
        <rFont val="Times New Roman"/>
        <family val="1"/>
      </rPr>
      <t>(Đính kèm Báo cáo            -BC/BCĐCTUVCTXDNTM ngày     tháng     năm 2019 của Ban Chỉ đạo của Thành ủy về Chương trình xây dựng nông thôn mới)
******</t>
    </r>
  </si>
  <si>
    <r>
      <t xml:space="preserve">Phụ lục 3b: Bình quân số tiêu chí đạt/xã giai đoạn 2010 - 2015 và giai đoạn 2016 - 2020
</t>
    </r>
    <r>
      <rPr>
        <i/>
        <sz val="13"/>
        <color theme="1"/>
        <rFont val="Times New Roman"/>
        <family val="1"/>
      </rPr>
      <t>(Đính kèm Báo cáo            -BC/BCĐCTUVCTXDNTM ngày     tháng     năm 2019 của Ban Chỉ đạo của Thành ủy về Chương trình xây dựng nông thôn mới)
******</t>
    </r>
  </si>
  <si>
    <r>
      <t xml:space="preserve">Phụ lục 3c: Kết quả xây dựng nông thôn mới tại thành phố Hồ Chí Minh qua các giai đoạn
</t>
    </r>
    <r>
      <rPr>
        <i/>
        <sz val="14"/>
        <color theme="1"/>
        <rFont val="Times New Roman"/>
        <family val="1"/>
      </rPr>
      <t>(Đính kèm Báo cáo            -BC/BCĐCTUVCTXDNTM ngày     tháng     năm 2019 
của Ban Chỉ đạo của Thành ủy về Chương trình xây dựng nông thôn mới)</t>
    </r>
    <r>
      <rPr>
        <b/>
        <sz val="14"/>
        <color theme="1"/>
        <rFont val="Times New Roman"/>
        <family val="1"/>
      </rPr>
      <t xml:space="preserve">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</si>
</sst>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_-* #,##0_-;\-* #,##0_-;_-* &quot;-&quot;_-;_-@_-"/>
    <numFmt numFmtId="165" formatCode="_-* #,##0.00_-;\-* #,##0.00_-;_-* &quot;-&quot;??_-;_-@_-"/>
    <numFmt numFmtId="166" formatCode="_(* #,##0.00_);_(* \(#,##0.00\);_(* &quot;-&quot;??_);_(@_)"/>
    <numFmt numFmtId="167" formatCode="#,##0.0"/>
    <numFmt numFmtId="168" formatCode="0.0"/>
    <numFmt numFmtId="169" formatCode="#,##0;[Red]#,##0"/>
    <numFmt numFmtId="170" formatCode="_-* #,##0.0\ _₫_-;\-* #,##0.0\ _₫_-;_-* &quot;-&quot;??\ _₫_-;_-@_-"/>
    <numFmt numFmtId="171" formatCode="_-* #,##0\ _₫_-;\-* #,##0\ _₫_-;_-* &quot;-&quot;??\ _₫_-;_-@_-"/>
  </numFmts>
  <fonts count="71" x14ac:knownFonts="1">
    <font>
      <sz val="10"/>
      <name val="Arial"/>
    </font>
    <font>
      <sz val="10"/>
      <name val="Times New Roman"/>
      <family val="1"/>
    </font>
    <font>
      <b/>
      <sz val="11"/>
      <name val="Times New Roman"/>
      <family val="1"/>
    </font>
    <font>
      <b/>
      <sz val="9"/>
      <name val="Times New Roman"/>
      <family val="1"/>
    </font>
    <font>
      <b/>
      <sz val="10"/>
      <name val="Times New Roman"/>
      <family val="1"/>
    </font>
    <font>
      <sz val="12"/>
      <name val="Times New Roman"/>
      <family val="1"/>
    </font>
    <font>
      <sz val="10"/>
      <color rgb="FFFF0000"/>
      <name val="Times New Roman"/>
      <family val="1"/>
    </font>
    <font>
      <b/>
      <u/>
      <sz val="14"/>
      <name val="Times New Roman"/>
      <family val="1"/>
    </font>
    <font>
      <b/>
      <i/>
      <sz val="11"/>
      <name val="Times New Roman"/>
      <family val="1"/>
    </font>
    <font>
      <b/>
      <u/>
      <sz val="11"/>
      <name val="Times New Roman"/>
      <family val="1"/>
    </font>
    <font>
      <sz val="9"/>
      <name val="Times New Roman"/>
      <family val="1"/>
    </font>
    <font>
      <b/>
      <sz val="8"/>
      <name val="Times New Roman"/>
      <family val="1"/>
    </font>
    <font>
      <b/>
      <i/>
      <sz val="8"/>
      <name val="Times New Roman"/>
      <family val="1"/>
    </font>
    <font>
      <sz val="8"/>
      <name val="Times New Roman"/>
      <family val="1"/>
    </font>
    <font>
      <b/>
      <sz val="10"/>
      <color rgb="FFFF0000"/>
      <name val="Times New Roman"/>
      <family val="1"/>
    </font>
    <font>
      <sz val="10"/>
      <color theme="0"/>
      <name val="Times New Roman"/>
      <family val="1"/>
    </font>
    <font>
      <sz val="12"/>
      <color theme="0"/>
      <name val="Times New Roman"/>
      <family val="1"/>
    </font>
    <font>
      <b/>
      <u/>
      <sz val="16"/>
      <name val="Times New Roman"/>
      <family val="1"/>
    </font>
    <font>
      <b/>
      <sz val="12"/>
      <name val="Times New Roman"/>
      <family val="1"/>
    </font>
    <font>
      <b/>
      <sz val="10"/>
      <color theme="0"/>
      <name val="Times New Roman"/>
      <family val="1"/>
    </font>
    <font>
      <b/>
      <sz val="14"/>
      <name val="Times New Roman"/>
      <family val="1"/>
    </font>
    <font>
      <i/>
      <sz val="10"/>
      <name val="Times New Roman"/>
      <family val="1"/>
    </font>
    <font>
      <b/>
      <sz val="10"/>
      <color theme="1"/>
      <name val="Times New Roman"/>
      <family val="1"/>
    </font>
    <font>
      <sz val="10"/>
      <color theme="1"/>
      <name val="Times New Roman"/>
      <family val="1"/>
    </font>
    <font>
      <b/>
      <sz val="9"/>
      <color theme="1"/>
      <name val="Times New Roman"/>
      <family val="1"/>
    </font>
    <font>
      <sz val="12"/>
      <color theme="1"/>
      <name val="Times New Roman"/>
      <family val="1"/>
    </font>
    <font>
      <b/>
      <u/>
      <sz val="14"/>
      <color theme="1"/>
      <name val="Times New Roman"/>
      <family val="1"/>
    </font>
    <font>
      <b/>
      <i/>
      <sz val="11"/>
      <color theme="1"/>
      <name val="Times New Roman"/>
      <family val="1"/>
    </font>
    <font>
      <b/>
      <sz val="9"/>
      <color rgb="FFFF0000"/>
      <name val="Times New Roman"/>
      <family val="1"/>
    </font>
    <font>
      <b/>
      <u/>
      <sz val="14"/>
      <color rgb="FFFF0000"/>
      <name val="Times New Roman"/>
      <family val="1"/>
    </font>
    <font>
      <sz val="12"/>
      <color rgb="FFFF0000"/>
      <name val="Times New Roman"/>
      <family val="1"/>
    </font>
    <font>
      <sz val="11"/>
      <color theme="1"/>
      <name val="Calibri"/>
      <family val="2"/>
      <scheme val="minor"/>
    </font>
    <font>
      <sz val="11"/>
      <name val="Times New Roman"/>
      <family val="1"/>
    </font>
    <font>
      <sz val="10"/>
      <name val="Arial"/>
      <family val="2"/>
    </font>
    <font>
      <sz val="11"/>
      <color indexed="8"/>
      <name val="Calibri"/>
      <family val="2"/>
    </font>
    <font>
      <sz val="10"/>
      <name val="Arial"/>
      <family val="2"/>
    </font>
    <font>
      <sz val="11"/>
      <color indexed="8"/>
      <name val="Times New Roman"/>
      <family val="2"/>
    </font>
    <font>
      <sz val="12"/>
      <name val=".VnTime"/>
      <family val="2"/>
    </font>
    <font>
      <sz val="14"/>
      <color theme="1"/>
      <name val="Times New Roman"/>
      <family val="2"/>
    </font>
    <font>
      <b/>
      <i/>
      <sz val="7"/>
      <name val="Times New Roman"/>
      <family val="1"/>
    </font>
    <font>
      <b/>
      <i/>
      <sz val="7"/>
      <color theme="1"/>
      <name val="Times New Roman"/>
      <family val="1"/>
    </font>
    <font>
      <sz val="11"/>
      <color theme="1"/>
      <name val="Times New Roman"/>
      <family val="1"/>
    </font>
    <font>
      <i/>
      <sz val="12"/>
      <color theme="1"/>
      <name val="Times New Roman"/>
      <family val="1"/>
    </font>
    <font>
      <i/>
      <sz val="9"/>
      <name val="Times New Roman"/>
      <family val="1"/>
    </font>
    <font>
      <i/>
      <sz val="9"/>
      <color rgb="FFFF0000"/>
      <name val="Times New Roman"/>
      <family val="1"/>
    </font>
    <font>
      <i/>
      <sz val="12"/>
      <name val="Times New Roman"/>
      <family val="1"/>
    </font>
    <font>
      <b/>
      <sz val="11"/>
      <color theme="1"/>
      <name val="Times New Roman"/>
      <family val="1"/>
    </font>
    <font>
      <i/>
      <sz val="11"/>
      <color theme="1"/>
      <name val="Times New Roman"/>
      <family val="1"/>
    </font>
    <font>
      <b/>
      <sz val="14"/>
      <color theme="1"/>
      <name val="Times New Roman"/>
      <family val="1"/>
    </font>
    <font>
      <i/>
      <u/>
      <sz val="11"/>
      <color theme="1"/>
      <name val="Times New Roman"/>
      <family val="1"/>
    </font>
    <font>
      <sz val="9"/>
      <color theme="1"/>
      <name val="Times New Roman"/>
      <family val="1"/>
    </font>
    <font>
      <i/>
      <sz val="9"/>
      <color theme="1"/>
      <name val="Times New Roman"/>
      <family val="1"/>
    </font>
    <font>
      <sz val="8"/>
      <color theme="1"/>
      <name val="Times New Roman"/>
      <family val="1"/>
    </font>
    <font>
      <i/>
      <sz val="10"/>
      <color theme="1"/>
      <name val="Times New Roman"/>
      <family val="1"/>
    </font>
    <font>
      <b/>
      <sz val="12"/>
      <color theme="1"/>
      <name val="Times New Roman"/>
      <family val="1"/>
    </font>
    <font>
      <b/>
      <sz val="13"/>
      <color theme="1"/>
      <name val="Times New Roman"/>
      <family val="1"/>
    </font>
    <font>
      <sz val="13"/>
      <color theme="1"/>
      <name val="Times New Roman"/>
      <family val="1"/>
    </font>
    <font>
      <b/>
      <i/>
      <sz val="12"/>
      <color theme="1"/>
      <name val="Times New Roman"/>
      <family val="1"/>
    </font>
    <font>
      <sz val="10"/>
      <color indexed="8"/>
      <name val="Times New Roman"/>
      <family val="1"/>
    </font>
    <font>
      <sz val="10"/>
      <color rgb="FF00B0F0"/>
      <name val="Times New Roman"/>
      <family val="1"/>
      <charset val="163"/>
    </font>
    <font>
      <sz val="13"/>
      <color rgb="FFFF0000"/>
      <name val="Times New Roman"/>
      <family val="1"/>
    </font>
    <font>
      <sz val="11"/>
      <color rgb="FFFF0000"/>
      <name val="Times New Roman"/>
      <family val="1"/>
    </font>
    <font>
      <b/>
      <sz val="11"/>
      <color rgb="FFFF0000"/>
      <name val="Times New Roman"/>
      <family val="1"/>
    </font>
    <font>
      <b/>
      <u/>
      <sz val="11"/>
      <color rgb="FFFF0000"/>
      <name val="Times New Roman"/>
      <family val="1"/>
    </font>
    <font>
      <b/>
      <sz val="14"/>
      <color rgb="FFFF0000"/>
      <name val="Times New Roman"/>
      <family val="1"/>
    </font>
    <font>
      <b/>
      <i/>
      <sz val="11"/>
      <color rgb="FFFF0000"/>
      <name val="Times New Roman"/>
      <family val="1"/>
    </font>
    <font>
      <b/>
      <sz val="12"/>
      <color rgb="FFFF0000"/>
      <name val="Times New Roman"/>
      <family val="1"/>
    </font>
    <font>
      <b/>
      <sz val="13"/>
      <color rgb="FFFF0000"/>
      <name val="Times New Roman"/>
      <family val="1"/>
    </font>
    <font>
      <i/>
      <sz val="14"/>
      <color rgb="FFFF0000"/>
      <name val="Times New Roman"/>
      <family val="1"/>
    </font>
    <font>
      <i/>
      <sz val="13"/>
      <color theme="1"/>
      <name val="Times New Roman"/>
      <family val="1"/>
    </font>
    <font>
      <i/>
      <sz val="14"/>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149998474074526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s>
  <cellStyleXfs count="27">
    <xf numFmtId="0" fontId="0" fillId="0" borderId="0"/>
    <xf numFmtId="0" fontId="31" fillId="0" borderId="0"/>
    <xf numFmtId="43" fontId="33" fillId="0" borderId="0" applyFont="0" applyFill="0" applyBorder="0" applyAlignment="0" applyProtection="0"/>
    <xf numFmtId="166" fontId="34" fillId="0" borderId="0" applyFont="0" applyFill="0" applyBorder="0" applyAlignment="0" applyProtection="0"/>
    <xf numFmtId="165" fontId="37" fillId="0" borderId="0" applyFont="0" applyFill="0" applyBorder="0" applyAlignment="0" applyProtection="0"/>
    <xf numFmtId="166" fontId="35"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4" fillId="0" borderId="0"/>
    <xf numFmtId="0" fontId="37" fillId="0" borderId="0"/>
    <xf numFmtId="0" fontId="37" fillId="0" borderId="0"/>
    <xf numFmtId="0" fontId="35" fillId="0" borderId="0"/>
    <xf numFmtId="0" fontId="34" fillId="0" borderId="0"/>
    <xf numFmtId="0" fontId="34" fillId="0" borderId="0"/>
    <xf numFmtId="0" fontId="34" fillId="0" borderId="0"/>
    <xf numFmtId="0" fontId="34" fillId="0" borderId="0"/>
    <xf numFmtId="0" fontId="34" fillId="0" borderId="0"/>
    <xf numFmtId="0" fontId="36" fillId="0" borderId="0"/>
    <xf numFmtId="0" fontId="38" fillId="0" borderId="0"/>
    <xf numFmtId="0" fontId="38" fillId="0" borderId="0"/>
    <xf numFmtId="0" fontId="38" fillId="0" borderId="0"/>
    <xf numFmtId="0" fontId="33" fillId="0" borderId="0"/>
    <xf numFmtId="0" fontId="5" fillId="0" borderId="0">
      <alignment vertical="center"/>
    </xf>
    <xf numFmtId="0" fontId="33" fillId="0" borderId="0"/>
    <xf numFmtId="0" fontId="5" fillId="0" borderId="0">
      <alignment vertical="center"/>
    </xf>
  </cellStyleXfs>
  <cellXfs count="337">
    <xf numFmtId="0" fontId="0" fillId="0" borderId="0" xfId="0"/>
    <xf numFmtId="0" fontId="1" fillId="0" borderId="0" xfId="0" applyFont="1"/>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2" xfId="0" applyFont="1" applyFill="1" applyBorder="1" applyAlignment="1">
      <alignment horizontal="center" vertical="center" wrapText="1"/>
    </xf>
    <xf numFmtId="0" fontId="4" fillId="0" borderId="0" xfId="0" applyFont="1"/>
    <xf numFmtId="0" fontId="4" fillId="0" borderId="2" xfId="0" applyFont="1" applyBorder="1" applyAlignment="1">
      <alignment horizontal="center" vertical="center"/>
    </xf>
    <xf numFmtId="0" fontId="4" fillId="0" borderId="2" xfId="0" applyFont="1" applyBorder="1" applyAlignment="1">
      <alignment horizontal="left" vertical="center"/>
    </xf>
    <xf numFmtId="0" fontId="5" fillId="0" borderId="2" xfId="0" applyFont="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left" vertical="center"/>
    </xf>
    <xf numFmtId="0" fontId="1" fillId="2" borderId="0" xfId="0" applyFont="1" applyFill="1"/>
    <xf numFmtId="0" fontId="5" fillId="0" borderId="0" xfId="0" applyFont="1"/>
    <xf numFmtId="0" fontId="7" fillId="0" borderId="0" xfId="0" applyFont="1" applyBorder="1" applyAlignment="1">
      <alignment horizontal="center"/>
    </xf>
    <xf numFmtId="0" fontId="5" fillId="0" borderId="0" xfId="0" applyFont="1" applyAlignment="1">
      <alignment wrapText="1"/>
    </xf>
    <xf numFmtId="0" fontId="1" fillId="0" borderId="1" xfId="0" applyFont="1" applyBorder="1" applyAlignment="1">
      <alignment horizontal="center"/>
    </xf>
    <xf numFmtId="3" fontId="4" fillId="3" borderId="2" xfId="0" applyNumberFormat="1" applyFont="1" applyFill="1" applyBorder="1" applyAlignment="1">
      <alignment horizontal="center" vertical="center"/>
    </xf>
    <xf numFmtId="167" fontId="4" fillId="3" borderId="2" xfId="0" applyNumberFormat="1" applyFont="1" applyFill="1" applyBorder="1" applyAlignment="1">
      <alignment horizontal="center" vertical="center"/>
    </xf>
    <xf numFmtId="0" fontId="10" fillId="0" borderId="0" xfId="0" applyFont="1"/>
    <xf numFmtId="0" fontId="1" fillId="0" borderId="2" xfId="0" applyFont="1" applyBorder="1" applyAlignment="1">
      <alignment horizontal="center" wrapText="1"/>
    </xf>
    <xf numFmtId="168"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0" fontId="1" fillId="0" borderId="0" xfId="0" applyFont="1" applyAlignment="1">
      <alignment vertical="center"/>
    </xf>
    <xf numFmtId="0" fontId="5" fillId="0" borderId="0" xfId="0" applyFont="1" applyAlignment="1">
      <alignment vertical="center" wrapText="1"/>
    </xf>
    <xf numFmtId="0" fontId="1" fillId="2" borderId="1" xfId="0" applyFont="1" applyFill="1" applyBorder="1" applyAlignment="1">
      <alignment horizontal="center"/>
    </xf>
    <xf numFmtId="0" fontId="3" fillId="2" borderId="2" xfId="0" applyFont="1" applyFill="1" applyBorder="1" applyAlignment="1">
      <alignment horizontal="center" vertical="center" wrapText="1"/>
    </xf>
    <xf numFmtId="0" fontId="7" fillId="2" borderId="0" xfId="0" applyFont="1" applyFill="1" applyBorder="1" applyAlignment="1">
      <alignment horizontal="center"/>
    </xf>
    <xf numFmtId="168" fontId="1" fillId="0" borderId="0" xfId="0" applyNumberFormat="1" applyFont="1" applyAlignment="1">
      <alignment vertical="center"/>
    </xf>
    <xf numFmtId="168" fontId="1" fillId="0" borderId="0" xfId="0" applyNumberFormat="1" applyFont="1"/>
    <xf numFmtId="0" fontId="4" fillId="3" borderId="2" xfId="0" applyFont="1" applyFill="1" applyBorder="1" applyAlignment="1">
      <alignment horizontal="center" vertical="center"/>
    </xf>
    <xf numFmtId="0" fontId="4" fillId="0" borderId="2" xfId="0" applyFont="1" applyBorder="1" applyAlignment="1">
      <alignment vertical="center"/>
    </xf>
    <xf numFmtId="0" fontId="4" fillId="2" borderId="2" xfId="0" applyFont="1" applyFill="1" applyBorder="1" applyAlignment="1">
      <alignment vertical="center"/>
    </xf>
    <xf numFmtId="1" fontId="4" fillId="3" borderId="2"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0" fontId="11" fillId="0" borderId="3" xfId="0" applyFont="1" applyBorder="1" applyAlignment="1">
      <alignment vertical="center"/>
    </xf>
    <xf numFmtId="0" fontId="11" fillId="0" borderId="3" xfId="0" applyFont="1" applyBorder="1" applyAlignment="1">
      <alignment vertical="center" wrapText="1"/>
    </xf>
    <xf numFmtId="0" fontId="12" fillId="0" borderId="2" xfId="0" applyFont="1" applyBorder="1" applyAlignment="1">
      <alignment horizontal="center" vertical="center"/>
    </xf>
    <xf numFmtId="0" fontId="12" fillId="2" borderId="2" xfId="0" applyFont="1" applyFill="1" applyBorder="1" applyAlignment="1">
      <alignment horizontal="center" vertical="center"/>
    </xf>
    <xf numFmtId="0" fontId="13" fillId="0" borderId="0" xfId="0" applyFont="1"/>
    <xf numFmtId="0" fontId="6" fillId="0" borderId="2" xfId="0" applyFont="1" applyBorder="1" applyAlignment="1">
      <alignment horizontal="center" vertical="center"/>
    </xf>
    <xf numFmtId="0" fontId="6" fillId="2" borderId="2" xfId="0" applyFont="1" applyFill="1" applyBorder="1" applyAlignment="1">
      <alignment horizontal="center" vertical="center"/>
    </xf>
    <xf numFmtId="0" fontId="14" fillId="0" borderId="2" xfId="0" applyFont="1" applyBorder="1" applyAlignment="1">
      <alignment horizontal="center" vertical="center"/>
    </xf>
    <xf numFmtId="1" fontId="16" fillId="0" borderId="0" xfId="0" applyNumberFormat="1" applyFont="1" applyBorder="1" applyAlignment="1">
      <alignment horizontal="center" vertical="center"/>
    </xf>
    <xf numFmtId="168" fontId="16"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1" fillId="0" borderId="0" xfId="0" applyFont="1" applyFill="1"/>
    <xf numFmtId="0" fontId="14" fillId="0" borderId="2" xfId="0" applyFont="1" applyFill="1" applyBorder="1" applyAlignment="1">
      <alignment horizontal="center" vertical="center"/>
    </xf>
    <xf numFmtId="0" fontId="15" fillId="0" borderId="0" xfId="0" applyFont="1"/>
    <xf numFmtId="0" fontId="15" fillId="0" borderId="0" xfId="0" applyFont="1" applyAlignment="1">
      <alignment vertical="center"/>
    </xf>
    <xf numFmtId="0" fontId="15" fillId="2" borderId="0" xfId="0" applyFont="1" applyFill="1"/>
    <xf numFmtId="3" fontId="17" fillId="3" borderId="2" xfId="0" applyNumberFormat="1" applyFont="1" applyFill="1" applyBorder="1" applyAlignment="1">
      <alignment horizontal="center" vertical="center"/>
    </xf>
    <xf numFmtId="0" fontId="5" fillId="0" borderId="3" xfId="0" applyFont="1" applyBorder="1" applyAlignment="1">
      <alignment horizontal="center" vertical="center"/>
    </xf>
    <xf numFmtId="1" fontId="18" fillId="0" borderId="2" xfId="0" applyNumberFormat="1" applyFont="1" applyBorder="1" applyAlignment="1">
      <alignment horizontal="center" vertical="center"/>
    </xf>
    <xf numFmtId="169" fontId="15" fillId="0" borderId="0" xfId="0" applyNumberFormat="1" applyFont="1"/>
    <xf numFmtId="0" fontId="15" fillId="0" borderId="0" xfId="0" applyFont="1" applyBorder="1" applyAlignment="1">
      <alignment horizontal="center" vertical="center"/>
    </xf>
    <xf numFmtId="168" fontId="15" fillId="0" borderId="0" xfId="0" applyNumberFormat="1" applyFont="1" applyAlignment="1">
      <alignment vertical="center"/>
    </xf>
    <xf numFmtId="0" fontId="16" fillId="0" borderId="0" xfId="0" applyFont="1" applyAlignment="1">
      <alignment vertical="center" wrapText="1"/>
    </xf>
    <xf numFmtId="168" fontId="15" fillId="0" borderId="0" xfId="0" applyNumberFormat="1" applyFont="1"/>
    <xf numFmtId="0" fontId="19" fillId="0" borderId="0" xfId="0" applyFont="1"/>
    <xf numFmtId="0" fontId="18" fillId="0" borderId="2" xfId="0" applyFont="1" applyBorder="1" applyAlignment="1">
      <alignment horizontal="center" vertical="center"/>
    </xf>
    <xf numFmtId="0" fontId="1" fillId="0" borderId="2" xfId="0" applyFont="1" applyBorder="1" applyAlignment="1">
      <alignment horizontal="center" vertical="center"/>
    </xf>
    <xf numFmtId="0" fontId="16" fillId="0" borderId="7" xfId="0" applyFont="1" applyBorder="1" applyAlignment="1">
      <alignment vertical="center"/>
    </xf>
    <xf numFmtId="169" fontId="1" fillId="0" borderId="0" xfId="0" applyNumberFormat="1" applyFont="1"/>
    <xf numFmtId="169" fontId="4" fillId="0" borderId="0" xfId="0" applyNumberFormat="1" applyFont="1"/>
    <xf numFmtId="0" fontId="4" fillId="2" borderId="0" xfId="0" applyFont="1" applyFill="1"/>
    <xf numFmtId="0" fontId="18" fillId="0" borderId="2" xfId="0" applyFont="1" applyBorder="1" applyAlignment="1">
      <alignment horizontal="center" vertical="center"/>
    </xf>
    <xf numFmtId="0" fontId="14" fillId="0" borderId="2" xfId="0" applyFont="1" applyBorder="1" applyAlignment="1">
      <alignment horizontal="left"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xf>
    <xf numFmtId="0" fontId="14"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14" fillId="0" borderId="2" xfId="0" applyFont="1" applyFill="1" applyBorder="1" applyAlignment="1">
      <alignment horizontal="left" vertical="center"/>
    </xf>
    <xf numFmtId="0" fontId="1" fillId="0" borderId="0" xfId="0" applyFont="1" applyBorder="1" applyAlignment="1">
      <alignment horizontal="center" vertical="center"/>
    </xf>
    <xf numFmtId="0" fontId="5" fillId="0" borderId="7" xfId="0" applyFont="1" applyBorder="1" applyAlignment="1">
      <alignment vertical="center"/>
    </xf>
    <xf numFmtId="1" fontId="5" fillId="0" borderId="0" xfId="0" applyNumberFormat="1" applyFont="1" applyBorder="1" applyAlignment="1">
      <alignment horizontal="center" vertical="center"/>
    </xf>
    <xf numFmtId="168" fontId="5" fillId="0" borderId="0" xfId="0" applyNumberFormat="1" applyFont="1" applyBorder="1" applyAlignment="1">
      <alignment horizontal="center"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3" fontId="7" fillId="3" borderId="2" xfId="0" applyNumberFormat="1" applyFont="1" applyFill="1" applyBorder="1" applyAlignment="1">
      <alignment horizontal="center" vertical="center"/>
    </xf>
    <xf numFmtId="0" fontId="20" fillId="0" borderId="0" xfId="0" applyFont="1"/>
    <xf numFmtId="0" fontId="5"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Fill="1" applyBorder="1" applyAlignment="1">
      <alignment vertic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4" fillId="4" borderId="2" xfId="0" applyFont="1" applyFill="1" applyBorder="1" applyAlignment="1">
      <alignment horizontal="left" vertical="center"/>
    </xf>
    <xf numFmtId="0" fontId="4" fillId="4" borderId="2" xfId="0" applyFont="1" applyFill="1" applyBorder="1" applyAlignment="1">
      <alignment horizontal="center" vertical="center"/>
    </xf>
    <xf numFmtId="0" fontId="3" fillId="0" borderId="2" xfId="0" applyFont="1" applyFill="1" applyBorder="1" applyAlignment="1">
      <alignment horizontal="center" vertical="center"/>
    </xf>
    <xf numFmtId="0" fontId="24"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10" fillId="0" borderId="0" xfId="0" applyFont="1" applyFill="1"/>
    <xf numFmtId="0" fontId="11" fillId="0" borderId="3" xfId="0" applyFont="1" applyFill="1" applyBorder="1" applyAlignment="1">
      <alignment vertical="center"/>
    </xf>
    <xf numFmtId="0" fontId="11" fillId="0" borderId="3" xfId="0" applyFont="1" applyFill="1" applyBorder="1" applyAlignment="1">
      <alignment vertical="center" wrapText="1"/>
    </xf>
    <xf numFmtId="0" fontId="13" fillId="0" borderId="0" xfId="0" applyFont="1" applyFill="1"/>
    <xf numFmtId="0" fontId="22" fillId="0" borderId="2" xfId="0" applyFont="1" applyFill="1" applyBorder="1" applyAlignment="1">
      <alignment horizontal="center" vertical="center"/>
    </xf>
    <xf numFmtId="0" fontId="4" fillId="0" borderId="0" xfId="0" applyFont="1" applyFill="1"/>
    <xf numFmtId="0" fontId="22" fillId="0" borderId="2"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0" xfId="0" applyFont="1" applyFill="1"/>
    <xf numFmtId="1" fontId="22" fillId="0" borderId="2" xfId="0" applyNumberFormat="1" applyFont="1" applyFill="1" applyBorder="1" applyAlignment="1">
      <alignment horizontal="center" vertical="center"/>
    </xf>
    <xf numFmtId="0" fontId="22" fillId="0" borderId="0" xfId="0" applyFont="1" applyFill="1"/>
    <xf numFmtId="0" fontId="20" fillId="0" borderId="0" xfId="0" applyFont="1" applyFill="1"/>
    <xf numFmtId="0" fontId="5" fillId="0" borderId="0" xfId="0" applyFont="1" applyFill="1"/>
    <xf numFmtId="0" fontId="21" fillId="0" borderId="0" xfId="0" applyFont="1" applyFill="1"/>
    <xf numFmtId="0" fontId="7" fillId="0" borderId="0" xfId="0" applyFont="1" applyFill="1" applyBorder="1" applyAlignment="1">
      <alignment horizontal="center"/>
    </xf>
    <xf numFmtId="0" fontId="29" fillId="0" borderId="0" xfId="0" applyFont="1" applyFill="1" applyBorder="1" applyAlignment="1">
      <alignment horizontal="center"/>
    </xf>
    <xf numFmtId="0" fontId="5" fillId="0" borderId="0" xfId="0" applyFont="1" applyFill="1" applyAlignment="1">
      <alignment wrapText="1"/>
    </xf>
    <xf numFmtId="0" fontId="1" fillId="0" borderId="2" xfId="0" applyFont="1" applyFill="1" applyBorder="1" applyAlignment="1">
      <alignment horizontal="center" wrapText="1"/>
    </xf>
    <xf numFmtId="0" fontId="5" fillId="0" borderId="3" xfId="0" applyFont="1" applyFill="1" applyBorder="1" applyAlignment="1">
      <alignment horizontal="center" vertical="center"/>
    </xf>
    <xf numFmtId="168" fontId="5"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0" fontId="1" fillId="0" borderId="0" xfId="0" applyFont="1" applyFill="1" applyAlignment="1">
      <alignment vertical="center"/>
    </xf>
    <xf numFmtId="0" fontId="23" fillId="0" borderId="0" xfId="0" applyFont="1" applyFill="1" applyAlignment="1">
      <alignment vertical="center"/>
    </xf>
    <xf numFmtId="168" fontId="1" fillId="0" borderId="0" xfId="0" applyNumberFormat="1" applyFont="1" applyFill="1" applyAlignment="1">
      <alignment vertical="center"/>
    </xf>
    <xf numFmtId="0" fontId="25" fillId="0" borderId="0" xfId="0" applyFont="1" applyFill="1" applyAlignment="1">
      <alignment vertical="center" wrapText="1"/>
    </xf>
    <xf numFmtId="0" fontId="18" fillId="0" borderId="2" xfId="0" applyFont="1" applyFill="1" applyBorder="1" applyAlignment="1">
      <alignment horizontal="center" vertical="center"/>
    </xf>
    <xf numFmtId="1" fontId="18" fillId="0" borderId="2" xfId="0" applyNumberFormat="1" applyFont="1" applyFill="1" applyBorder="1" applyAlignment="1">
      <alignment horizontal="center" vertical="center"/>
    </xf>
    <xf numFmtId="0" fontId="5" fillId="0" borderId="7" xfId="0" applyFont="1" applyFill="1" applyBorder="1" applyAlignment="1">
      <alignment vertical="center"/>
    </xf>
    <xf numFmtId="0" fontId="30" fillId="0" borderId="7" xfId="0" applyFont="1" applyFill="1" applyBorder="1" applyAlignment="1">
      <alignment vertical="center"/>
    </xf>
    <xf numFmtId="1" fontId="5" fillId="0" borderId="0" xfId="0" applyNumberFormat="1" applyFont="1" applyFill="1" applyBorder="1" applyAlignment="1">
      <alignment horizontal="center" vertical="center"/>
    </xf>
    <xf numFmtId="168" fontId="5" fillId="0" borderId="0" xfId="0" applyNumberFormat="1" applyFont="1" applyFill="1" applyBorder="1" applyAlignment="1">
      <alignment horizontal="center" vertical="center"/>
    </xf>
    <xf numFmtId="169" fontId="1" fillId="0" borderId="0" xfId="0" applyNumberFormat="1" applyFont="1" applyFill="1"/>
    <xf numFmtId="0" fontId="6" fillId="0" borderId="0" xfId="0" applyFont="1" applyFill="1"/>
    <xf numFmtId="169" fontId="6" fillId="0" borderId="0" xfId="0" applyNumberFormat="1" applyFont="1" applyFill="1"/>
    <xf numFmtId="169" fontId="4" fillId="0" borderId="0" xfId="0" applyNumberFormat="1" applyFont="1" applyFill="1"/>
    <xf numFmtId="169" fontId="14" fillId="0" borderId="0" xfId="0" applyNumberFormat="1" applyFont="1" applyFill="1"/>
    <xf numFmtId="0" fontId="14" fillId="0" borderId="0" xfId="0" applyFont="1" applyFill="1"/>
    <xf numFmtId="0" fontId="3" fillId="0" borderId="2" xfId="0" applyFont="1" applyFill="1" applyBorder="1" applyAlignment="1">
      <alignment horizontal="left" vertical="top" wrapText="1"/>
    </xf>
    <xf numFmtId="0" fontId="23" fillId="2" borderId="2" xfId="0" applyFont="1" applyFill="1" applyBorder="1" applyAlignment="1">
      <alignment horizontal="center" vertical="center"/>
    </xf>
    <xf numFmtId="0" fontId="22" fillId="2" borderId="2" xfId="0" applyFont="1" applyFill="1" applyBorder="1" applyAlignment="1">
      <alignment horizontal="center" vertical="center"/>
    </xf>
    <xf numFmtId="0" fontId="32" fillId="0" borderId="2" xfId="1" applyFont="1" applyBorder="1" applyAlignment="1">
      <alignment horizontal="center" vertical="center"/>
    </xf>
    <xf numFmtId="0" fontId="2" fillId="0" borderId="2" xfId="1" applyFont="1" applyBorder="1" applyAlignment="1">
      <alignment horizontal="center" vertical="center"/>
    </xf>
    <xf numFmtId="0" fontId="32" fillId="0" borderId="2" xfId="1" applyFont="1" applyFill="1" applyBorder="1" applyAlignment="1">
      <alignment horizontal="center" vertical="center"/>
    </xf>
    <xf numFmtId="1" fontId="5" fillId="0" borderId="0" xfId="0" applyNumberFormat="1" applyFont="1" applyFill="1"/>
    <xf numFmtId="1" fontId="22" fillId="0" borderId="2" xfId="1" applyNumberFormat="1" applyFont="1" applyBorder="1" applyAlignment="1">
      <alignment horizontal="center" vertical="center"/>
    </xf>
    <xf numFmtId="0" fontId="39" fillId="0" borderId="2" xfId="0" applyFont="1" applyFill="1" applyBorder="1" applyAlignment="1">
      <alignment horizontal="center" vertical="center"/>
    </xf>
    <xf numFmtId="0" fontId="40" fillId="0" borderId="2" xfId="0" applyFont="1" applyFill="1" applyBorder="1" applyAlignment="1">
      <alignment horizontal="center" vertical="center"/>
    </xf>
    <xf numFmtId="0" fontId="41" fillId="0" borderId="2" xfId="1" applyFont="1" applyBorder="1" applyAlignment="1">
      <alignment horizontal="center" vertical="center"/>
    </xf>
    <xf numFmtId="170" fontId="42" fillId="0" borderId="2" xfId="2" applyNumberFormat="1" applyFont="1" applyFill="1" applyBorder="1" applyAlignment="1">
      <alignment horizontal="center" vertical="center"/>
    </xf>
    <xf numFmtId="171" fontId="42" fillId="5" borderId="2" xfId="2" applyNumberFormat="1" applyFont="1" applyFill="1" applyBorder="1" applyAlignment="1">
      <alignment horizontal="center" vertical="center"/>
    </xf>
    <xf numFmtId="171" fontId="45" fillId="5" borderId="2" xfId="2" applyNumberFormat="1" applyFont="1" applyFill="1" applyBorder="1" applyAlignment="1">
      <alignment horizontal="center" vertical="center"/>
    </xf>
    <xf numFmtId="171" fontId="45" fillId="0" borderId="2" xfId="2" applyNumberFormat="1" applyFont="1" applyFill="1" applyBorder="1" applyAlignment="1">
      <alignment horizontal="center" vertical="center"/>
    </xf>
    <xf numFmtId="170" fontId="23" fillId="0" borderId="0" xfId="2" applyNumberFormat="1" applyFont="1" applyFill="1"/>
    <xf numFmtId="10" fontId="1" fillId="0" borderId="0" xfId="0" applyNumberFormat="1" applyFont="1" applyFill="1"/>
    <xf numFmtId="0" fontId="22" fillId="0" borderId="2" xfId="0" applyFont="1" applyBorder="1" applyAlignment="1">
      <alignment horizontal="left" vertical="center" wrapText="1"/>
    </xf>
    <xf numFmtId="0" fontId="23" fillId="0" borderId="2" xfId="0" applyFont="1" applyBorder="1" applyAlignment="1">
      <alignment horizontal="center" vertical="center"/>
    </xf>
    <xf numFmtId="0" fontId="19"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22" fillId="2" borderId="2" xfId="0" applyFont="1" applyFill="1" applyBorder="1" applyAlignment="1">
      <alignment horizontal="left" vertical="center"/>
    </xf>
    <xf numFmtId="0" fontId="22" fillId="0" borderId="2" xfId="0" applyFont="1" applyBorder="1" applyAlignment="1">
      <alignment horizontal="left" vertical="center"/>
    </xf>
    <xf numFmtId="1" fontId="4" fillId="0" borderId="2" xfId="0" applyNumberFormat="1" applyFont="1" applyFill="1" applyBorder="1" applyAlignment="1">
      <alignment horizontal="center" vertical="center"/>
    </xf>
    <xf numFmtId="167" fontId="26" fillId="0" borderId="2" xfId="0" applyNumberFormat="1" applyFont="1" applyFill="1" applyBorder="1" applyAlignment="1">
      <alignment horizontal="center" vertical="center"/>
    </xf>
    <xf numFmtId="1" fontId="1" fillId="0" borderId="2" xfId="0" applyNumberFormat="1" applyFont="1" applyFill="1" applyBorder="1" applyAlignment="1">
      <alignment horizontal="center" wrapText="1"/>
    </xf>
    <xf numFmtId="1" fontId="23" fillId="0" borderId="0" xfId="0" applyNumberFormat="1" applyFont="1" applyFill="1" applyAlignment="1">
      <alignment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2" xfId="0" applyFont="1" applyFill="1" applyBorder="1" applyAlignment="1">
      <alignment horizontal="center" vertical="center"/>
    </xf>
    <xf numFmtId="1" fontId="4" fillId="0" borderId="0" xfId="0" applyNumberFormat="1" applyFont="1" applyFill="1"/>
    <xf numFmtId="9" fontId="22" fillId="0" borderId="0" xfId="0" applyNumberFormat="1" applyFont="1" applyFill="1"/>
    <xf numFmtId="0" fontId="13" fillId="0" borderId="2" xfId="0" applyFont="1" applyFill="1" applyBorder="1" applyAlignment="1">
      <alignment horizontal="center" wrapText="1"/>
    </xf>
    <xf numFmtId="0" fontId="23" fillId="2" borderId="0" xfId="0" applyFont="1" applyFill="1"/>
    <xf numFmtId="0" fontId="1"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4" fillId="0" borderId="2" xfId="0" applyFont="1" applyFill="1" applyBorder="1" applyAlignment="1">
      <alignment horizontal="center" vertical="center"/>
    </xf>
    <xf numFmtId="0" fontId="46" fillId="2" borderId="2" xfId="0" applyFont="1" applyFill="1" applyBorder="1" applyAlignment="1">
      <alignment horizontal="center" vertical="center"/>
    </xf>
    <xf numFmtId="0" fontId="46" fillId="2" borderId="2" xfId="0" applyFont="1" applyFill="1" applyBorder="1" applyAlignment="1">
      <alignment horizontal="left" vertical="center" wrapText="1"/>
    </xf>
    <xf numFmtId="0" fontId="41" fillId="2" borderId="2" xfId="0" applyFont="1" applyFill="1" applyBorder="1" applyAlignment="1">
      <alignment horizontal="center" vertical="center"/>
    </xf>
    <xf numFmtId="0" fontId="46" fillId="2" borderId="2" xfId="0" applyFont="1" applyFill="1" applyBorder="1" applyAlignment="1">
      <alignment horizontal="left" vertical="center"/>
    </xf>
    <xf numFmtId="1" fontId="46" fillId="2" borderId="2" xfId="0" applyNumberFormat="1" applyFont="1" applyFill="1" applyBorder="1" applyAlignment="1">
      <alignment horizontal="center" vertical="center"/>
    </xf>
    <xf numFmtId="2" fontId="46" fillId="2" borderId="2" xfId="0" applyNumberFormat="1" applyFont="1" applyFill="1" applyBorder="1" applyAlignment="1">
      <alignment horizontal="center" vertical="center"/>
    </xf>
    <xf numFmtId="0" fontId="22" fillId="2" borderId="0" xfId="0" applyFont="1" applyFill="1"/>
    <xf numFmtId="0" fontId="46" fillId="2" borderId="2" xfId="0" applyFont="1" applyFill="1" applyBorder="1" applyAlignment="1">
      <alignment horizontal="center" vertical="center" wrapText="1"/>
    </xf>
    <xf numFmtId="171" fontId="47" fillId="2" borderId="2" xfId="2" applyNumberFormat="1" applyFont="1" applyFill="1" applyBorder="1" applyAlignment="1">
      <alignment horizontal="center" vertical="center"/>
    </xf>
    <xf numFmtId="170" fontId="47" fillId="2" borderId="2" xfId="2" applyNumberFormat="1" applyFont="1" applyFill="1" applyBorder="1" applyAlignment="1">
      <alignment horizontal="center" vertical="center"/>
    </xf>
    <xf numFmtId="0" fontId="23" fillId="2" borderId="0" xfId="0" applyFont="1" applyFill="1" applyAlignment="1">
      <alignment vertical="center"/>
    </xf>
    <xf numFmtId="0" fontId="25" fillId="2" borderId="0" xfId="0" applyFont="1" applyFill="1" applyAlignment="1">
      <alignment vertical="center" wrapText="1"/>
    </xf>
    <xf numFmtId="1" fontId="23" fillId="2" borderId="0" xfId="0" applyNumberFormat="1" applyFont="1" applyFill="1" applyAlignment="1">
      <alignment vertical="center"/>
    </xf>
    <xf numFmtId="10" fontId="23" fillId="2" borderId="0" xfId="0" applyNumberFormat="1" applyFont="1" applyFill="1"/>
    <xf numFmtId="9" fontId="22" fillId="2" borderId="0" xfId="0" applyNumberFormat="1" applyFont="1" applyFill="1"/>
    <xf numFmtId="0" fontId="50" fillId="2" borderId="0" xfId="0" applyFont="1" applyFill="1"/>
    <xf numFmtId="49" fontId="51" fillId="2" borderId="2" xfId="0" applyNumberFormat="1" applyFont="1" applyFill="1" applyBorder="1" applyAlignment="1">
      <alignment horizontal="center" vertical="center"/>
    </xf>
    <xf numFmtId="0" fontId="52" fillId="2" borderId="0" xfId="0" applyFont="1" applyFill="1"/>
    <xf numFmtId="0" fontId="48" fillId="2" borderId="0" xfId="0" applyFont="1" applyFill="1"/>
    <xf numFmtId="1" fontId="25" fillId="2" borderId="0" xfId="0" applyNumberFormat="1" applyFont="1" applyFill="1"/>
    <xf numFmtId="0" fontId="25" fillId="2" borderId="0" xfId="0" applyFont="1" applyFill="1"/>
    <xf numFmtId="171" fontId="47" fillId="2" borderId="2" xfId="2" applyNumberFormat="1" applyFont="1" applyFill="1" applyBorder="1" applyAlignment="1">
      <alignment vertical="center"/>
    </xf>
    <xf numFmtId="0" fontId="53" fillId="2" borderId="0" xfId="0" applyFont="1" applyFill="1"/>
    <xf numFmtId="0" fontId="26" fillId="2" borderId="0" xfId="0" applyFont="1" applyFill="1" applyBorder="1" applyAlignment="1">
      <alignment horizontal="center"/>
    </xf>
    <xf numFmtId="0" fontId="25" fillId="2" borderId="0" xfId="0" applyFont="1" applyFill="1" applyAlignment="1">
      <alignment wrapText="1"/>
    </xf>
    <xf numFmtId="4" fontId="23" fillId="2" borderId="0" xfId="0" applyNumberFormat="1" applyFont="1" applyFill="1"/>
    <xf numFmtId="0" fontId="25" fillId="2" borderId="3" xfId="0" applyFont="1" applyFill="1" applyBorder="1" applyAlignment="1">
      <alignment horizontal="center" vertical="center"/>
    </xf>
    <xf numFmtId="1" fontId="23" fillId="2" borderId="2" xfId="0" applyNumberFormat="1" applyFont="1" applyFill="1" applyBorder="1" applyAlignment="1">
      <alignment horizontal="center" wrapText="1"/>
    </xf>
    <xf numFmtId="168" fontId="25" fillId="2" borderId="2" xfId="0" applyNumberFormat="1" applyFont="1" applyFill="1" applyBorder="1" applyAlignment="1">
      <alignment horizontal="center" vertical="center"/>
    </xf>
    <xf numFmtId="0" fontId="25" fillId="2" borderId="2" xfId="0" applyFont="1" applyFill="1" applyBorder="1" applyAlignment="1">
      <alignment horizontal="center" vertical="center"/>
    </xf>
    <xf numFmtId="1" fontId="25" fillId="2" borderId="2" xfId="0" applyNumberFormat="1" applyFont="1" applyFill="1" applyBorder="1" applyAlignment="1">
      <alignment horizontal="center" vertical="center"/>
    </xf>
    <xf numFmtId="168" fontId="23" fillId="2" borderId="0" xfId="0" applyNumberFormat="1" applyFont="1" applyFill="1" applyAlignment="1">
      <alignment vertical="center"/>
    </xf>
    <xf numFmtId="168" fontId="23" fillId="2" borderId="0" xfId="0" applyNumberFormat="1" applyFont="1" applyFill="1" applyBorder="1" applyAlignment="1">
      <alignment horizontal="center" vertical="center"/>
    </xf>
    <xf numFmtId="0" fontId="54" fillId="2" borderId="2" xfId="0" applyFont="1" applyFill="1" applyBorder="1" applyAlignment="1">
      <alignment horizontal="center" vertical="center"/>
    </xf>
    <xf numFmtId="1" fontId="54" fillId="2" borderId="2" xfId="0" applyNumberFormat="1" applyFont="1" applyFill="1" applyBorder="1" applyAlignment="1">
      <alignment horizontal="center" vertical="center"/>
    </xf>
    <xf numFmtId="0" fontId="25" fillId="2" borderId="7" xfId="0" applyFont="1" applyFill="1" applyBorder="1" applyAlignment="1">
      <alignment vertical="center"/>
    </xf>
    <xf numFmtId="1" fontId="25" fillId="2" borderId="0" xfId="0" applyNumberFormat="1" applyFont="1" applyFill="1" applyBorder="1" applyAlignment="1">
      <alignment horizontal="center" vertical="center"/>
    </xf>
    <xf numFmtId="168" fontId="25" fillId="2" borderId="0" xfId="0" applyNumberFormat="1" applyFont="1" applyFill="1" applyBorder="1" applyAlignment="1">
      <alignment horizontal="center" vertical="center"/>
    </xf>
    <xf numFmtId="168" fontId="23" fillId="2" borderId="0" xfId="0" applyNumberFormat="1" applyFont="1" applyFill="1" applyAlignment="1">
      <alignment horizontal="center"/>
    </xf>
    <xf numFmtId="169" fontId="23" fillId="2" borderId="0" xfId="0" applyNumberFormat="1" applyFont="1" applyFill="1"/>
    <xf numFmtId="1" fontId="23" fillId="2" borderId="0" xfId="0" applyNumberFormat="1" applyFont="1" applyFill="1"/>
    <xf numFmtId="169" fontId="22" fillId="2" borderId="0" xfId="0" applyNumberFormat="1" applyFont="1" applyFill="1"/>
    <xf numFmtId="0" fontId="23" fillId="2" borderId="2" xfId="0" applyFont="1" applyFill="1" applyBorder="1" applyAlignment="1">
      <alignment horizontal="center" vertical="center"/>
    </xf>
    <xf numFmtId="0" fontId="23" fillId="2" borderId="0" xfId="0" applyFont="1" applyFill="1" applyBorder="1" applyAlignment="1">
      <alignment horizontal="center" vertical="center"/>
    </xf>
    <xf numFmtId="170" fontId="23" fillId="2" borderId="0" xfId="2" applyNumberFormat="1" applyFont="1" applyFill="1"/>
    <xf numFmtId="0" fontId="25" fillId="2" borderId="4" xfId="0" applyFont="1" applyFill="1" applyBorder="1" applyAlignment="1">
      <alignment horizontal="center" vertical="center"/>
    </xf>
    <xf numFmtId="0" fontId="55" fillId="0" borderId="0" xfId="0" applyFont="1" applyAlignment="1">
      <alignment horizontal="center" wrapText="1"/>
    </xf>
    <xf numFmtId="49" fontId="55" fillId="0" borderId="2" xfId="0" applyNumberFormat="1" applyFont="1" applyBorder="1" applyAlignment="1">
      <alignment horizontal="center" vertical="center"/>
    </xf>
    <xf numFmtId="0" fontId="25" fillId="0" borderId="0" xfId="0" applyFont="1" applyAlignment="1">
      <alignment horizontal="left" wrapText="1"/>
    </xf>
    <xf numFmtId="0" fontId="42" fillId="0" borderId="0" xfId="0" applyFont="1"/>
    <xf numFmtId="0" fontId="25" fillId="0" borderId="0" xfId="0" applyFont="1" applyAlignment="1">
      <alignment horizontal="center"/>
    </xf>
    <xf numFmtId="0" fontId="25" fillId="0" borderId="0" xfId="0" applyFont="1"/>
    <xf numFmtId="0" fontId="54" fillId="0" borderId="2" xfId="0" applyFont="1" applyBorder="1" applyAlignment="1">
      <alignment horizontal="center"/>
    </xf>
    <xf numFmtId="0" fontId="54" fillId="0" borderId="2" xfId="0" applyFont="1" applyBorder="1" applyAlignment="1">
      <alignment horizontal="left" wrapText="1"/>
    </xf>
    <xf numFmtId="0" fontId="42" fillId="0" borderId="2" xfId="0" applyFont="1" applyBorder="1" applyAlignment="1">
      <alignment horizontal="center"/>
    </xf>
    <xf numFmtId="0" fontId="25" fillId="0" borderId="2" xfId="0" applyFont="1" applyBorder="1" applyAlignment="1">
      <alignment horizontal="center"/>
    </xf>
    <xf numFmtId="0" fontId="54" fillId="0" borderId="2" xfId="0" applyFont="1" applyBorder="1" applyAlignment="1">
      <alignment horizontal="center" vertical="center"/>
    </xf>
    <xf numFmtId="0" fontId="54" fillId="0" borderId="2" xfId="0" applyFont="1" applyBorder="1" applyAlignment="1">
      <alignment horizontal="left" vertical="center" wrapText="1"/>
    </xf>
    <xf numFmtId="0" fontId="42" fillId="0" borderId="2" xfId="0" applyFont="1" applyBorder="1" applyAlignment="1">
      <alignment horizontal="center" vertical="center"/>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57" fillId="0" borderId="2" xfId="0" applyFont="1" applyBorder="1" applyAlignment="1">
      <alignment horizontal="center"/>
    </xf>
    <xf numFmtId="0" fontId="54" fillId="0" borderId="8" xfId="0" applyFont="1" applyBorder="1" applyAlignment="1">
      <alignment horizontal="center"/>
    </xf>
    <xf numFmtId="0" fontId="25" fillId="0" borderId="2" xfId="0" applyFont="1" applyBorder="1" applyAlignment="1">
      <alignment horizontal="left" wrapText="1"/>
    </xf>
    <xf numFmtId="0" fontId="25" fillId="0" borderId="4" xfId="0" applyFont="1" applyBorder="1" applyAlignment="1">
      <alignment horizontal="center"/>
    </xf>
    <xf numFmtId="0" fontId="56" fillId="0" borderId="2" xfId="0" applyFont="1" applyBorder="1" applyAlignment="1">
      <alignment horizontal="center" vertical="center" wrapText="1"/>
    </xf>
    <xf numFmtId="0" fontId="54" fillId="0" borderId="11" xfId="0" applyFont="1" applyBorder="1" applyAlignment="1">
      <alignment horizontal="center"/>
    </xf>
    <xf numFmtId="49" fontId="25" fillId="0" borderId="2" xfId="0" quotePrefix="1" applyNumberFormat="1" applyFont="1" applyBorder="1" applyAlignment="1">
      <alignment horizontal="left" wrapText="1"/>
    </xf>
    <xf numFmtId="0" fontId="25" fillId="0" borderId="2" xfId="0" applyFont="1" applyBorder="1"/>
    <xf numFmtId="0" fontId="25" fillId="0" borderId="2" xfId="0" quotePrefix="1" applyFont="1" applyBorder="1" applyAlignment="1">
      <alignment horizontal="left" wrapText="1"/>
    </xf>
    <xf numFmtId="0" fontId="54" fillId="0" borderId="2" xfId="0" applyFont="1" applyBorder="1" applyAlignment="1">
      <alignment horizontal="center" vertical="center" wrapText="1"/>
    </xf>
    <xf numFmtId="1" fontId="56" fillId="0" borderId="2" xfId="0" applyNumberFormat="1" applyFont="1" applyBorder="1" applyAlignment="1">
      <alignment horizontal="center" vertical="center" wrapText="1"/>
    </xf>
    <xf numFmtId="0" fontId="25" fillId="2" borderId="2" xfId="0" applyFont="1" applyFill="1" applyBorder="1" applyAlignment="1">
      <alignment horizontal="center" wrapText="1"/>
    </xf>
    <xf numFmtId="0" fontId="58" fillId="0" borderId="0" xfId="0" applyFont="1" applyFill="1" applyAlignment="1">
      <alignment horizontal="center"/>
    </xf>
    <xf numFmtId="0" fontId="59" fillId="0" borderId="2" xfId="0" applyFont="1" applyFill="1" applyBorder="1" applyAlignment="1">
      <alignment horizontal="center" vertical="center"/>
    </xf>
    <xf numFmtId="0" fontId="0" fillId="0" borderId="0" xfId="0" applyAlignment="1">
      <alignment vertical="center"/>
    </xf>
    <xf numFmtId="0" fontId="55" fillId="0" borderId="2" xfId="0" applyFont="1" applyBorder="1" applyAlignment="1">
      <alignment horizontal="center" vertical="center" wrapText="1"/>
    </xf>
    <xf numFmtId="14" fontId="55" fillId="0" borderId="2" xfId="0" applyNumberFormat="1" applyFont="1" applyBorder="1" applyAlignment="1">
      <alignment horizontal="center" vertical="center"/>
    </xf>
    <xf numFmtId="49" fontId="56" fillId="0" borderId="2" xfId="0" applyNumberFormat="1" applyFont="1" applyBorder="1" applyAlignment="1">
      <alignment horizontal="center" vertical="center"/>
    </xf>
    <xf numFmtId="49" fontId="56" fillId="0" borderId="2" xfId="0" applyNumberFormat="1" applyFont="1" applyBorder="1" applyAlignment="1">
      <alignment vertical="center"/>
    </xf>
    <xf numFmtId="14" fontId="54" fillId="0" borderId="2" xfId="0" applyNumberFormat="1" applyFont="1" applyBorder="1" applyAlignment="1">
      <alignment horizontal="center" vertical="center" wrapText="1"/>
    </xf>
    <xf numFmtId="0" fontId="60" fillId="0" borderId="2" xfId="0" applyFont="1" applyBorder="1" applyAlignment="1">
      <alignment horizontal="center" vertical="center" wrapText="1"/>
    </xf>
    <xf numFmtId="0" fontId="61" fillId="2" borderId="2" xfId="0" applyFont="1" applyFill="1" applyBorder="1" applyAlignment="1">
      <alignment horizontal="center" vertical="center"/>
    </xf>
    <xf numFmtId="2" fontId="63" fillId="2" borderId="2" xfId="0" applyNumberFormat="1" applyFont="1" applyFill="1" applyBorder="1" applyAlignment="1">
      <alignment horizontal="center" vertical="center"/>
    </xf>
    <xf numFmtId="0" fontId="62" fillId="2"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62" fillId="2" borderId="2" xfId="0" applyFont="1" applyFill="1" applyBorder="1" applyAlignment="1">
      <alignment horizontal="center" vertical="center"/>
    </xf>
    <xf numFmtId="0" fontId="62" fillId="2" borderId="2" xfId="0" applyFont="1" applyFill="1" applyBorder="1" applyAlignment="1">
      <alignment horizontal="left" vertical="center"/>
    </xf>
    <xf numFmtId="0" fontId="6" fillId="2" borderId="0" xfId="0" applyFont="1" applyFill="1"/>
    <xf numFmtId="168" fontId="30" fillId="2" borderId="2" xfId="0" applyNumberFormat="1" applyFont="1" applyFill="1" applyBorder="1" applyAlignment="1">
      <alignment horizontal="center" vertical="center"/>
    </xf>
    <xf numFmtId="168" fontId="62" fillId="2" borderId="2" xfId="0" applyNumberFormat="1" applyFont="1" applyFill="1" applyBorder="1" applyAlignment="1">
      <alignment horizontal="center" vertical="center"/>
    </xf>
    <xf numFmtId="49" fontId="67" fillId="0" borderId="2" xfId="0" applyNumberFormat="1" applyFont="1" applyBorder="1" applyAlignment="1">
      <alignment horizontal="center" vertical="center" wrapText="1"/>
    </xf>
    <xf numFmtId="4" fontId="63" fillId="2" borderId="2"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9" fillId="3" borderId="4" xfId="0" applyFont="1" applyFill="1" applyBorder="1" applyAlignment="1">
      <alignment horizontal="left" vertical="center"/>
    </xf>
    <xf numFmtId="0" fontId="9" fillId="3" borderId="6" xfId="0" applyFont="1" applyFill="1" applyBorder="1" applyAlignment="1">
      <alignment horizontal="left" vertical="center"/>
    </xf>
    <xf numFmtId="0" fontId="9" fillId="3" borderId="5" xfId="0" applyFont="1" applyFill="1" applyBorder="1" applyAlignment="1">
      <alignment horizontal="left" vertical="center"/>
    </xf>
    <xf numFmtId="0" fontId="1" fillId="0" borderId="2" xfId="0" applyFont="1" applyBorder="1" applyAlignment="1">
      <alignment horizontal="center" vertical="center"/>
    </xf>
    <xf numFmtId="0" fontId="15" fillId="0" borderId="0" xfId="0" applyFont="1" applyBorder="1" applyAlignment="1">
      <alignment horizontal="center" vertical="center"/>
    </xf>
    <xf numFmtId="0" fontId="2" fillId="0" borderId="0" xfId="0" applyFont="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18" fillId="0" borderId="5" xfId="0" applyFont="1" applyBorder="1" applyAlignment="1">
      <alignment horizontal="center" vertical="center"/>
    </xf>
    <xf numFmtId="0" fontId="1" fillId="0" borderId="0" xfId="0" applyFont="1" applyBorder="1" applyAlignment="1">
      <alignment horizontal="center" vertical="center"/>
    </xf>
    <xf numFmtId="0" fontId="46" fillId="2" borderId="4" xfId="0" applyFont="1" applyFill="1" applyBorder="1" applyAlignment="1">
      <alignment horizontal="center" vertical="center"/>
    </xf>
    <xf numFmtId="0" fontId="46" fillId="2" borderId="5" xfId="0" applyFont="1" applyFill="1" applyBorder="1" applyAlignment="1">
      <alignment horizontal="center" vertical="center"/>
    </xf>
    <xf numFmtId="0" fontId="46" fillId="2" borderId="4" xfId="0" applyFont="1" applyFill="1" applyBorder="1" applyAlignment="1">
      <alignment horizontal="center" vertical="center" wrapText="1"/>
    </xf>
    <xf numFmtId="0" fontId="47" fillId="2" borderId="4" xfId="0" applyFont="1" applyFill="1" applyBorder="1" applyAlignment="1">
      <alignment horizontal="center" vertical="center"/>
    </xf>
    <xf numFmtId="0" fontId="47" fillId="2" borderId="5" xfId="0" applyFont="1" applyFill="1" applyBorder="1" applyAlignment="1">
      <alignment horizontal="center" vertical="center"/>
    </xf>
    <xf numFmtId="0" fontId="65" fillId="2" borderId="4" xfId="0" applyFont="1" applyFill="1" applyBorder="1" applyAlignment="1">
      <alignment horizontal="left" vertical="center"/>
    </xf>
    <xf numFmtId="0" fontId="65" fillId="2" borderId="6" xfId="0" applyFont="1" applyFill="1" applyBorder="1" applyAlignment="1">
      <alignment horizontal="left" vertical="center"/>
    </xf>
    <xf numFmtId="0" fontId="65" fillId="2" borderId="5" xfId="0" applyFont="1" applyFill="1" applyBorder="1" applyAlignment="1">
      <alignment horizontal="left" vertical="center"/>
    </xf>
    <xf numFmtId="0" fontId="48" fillId="2" borderId="0" xfId="0" applyFont="1" applyFill="1" applyAlignment="1">
      <alignment horizontal="center" vertical="center" wrapText="1"/>
    </xf>
    <xf numFmtId="0" fontId="46" fillId="2" borderId="8" xfId="0" applyFont="1" applyFill="1" applyBorder="1" applyAlignment="1">
      <alignment horizontal="center" vertical="center"/>
    </xf>
    <xf numFmtId="0" fontId="46" fillId="2" borderId="3" xfId="0" applyFont="1" applyFill="1" applyBorder="1" applyAlignment="1">
      <alignment horizontal="center" vertical="center"/>
    </xf>
    <xf numFmtId="0" fontId="22" fillId="2" borderId="9" xfId="0" applyFont="1" applyFill="1" applyBorder="1" applyAlignment="1">
      <alignment horizontal="left" vertical="top" wrapText="1"/>
    </xf>
    <xf numFmtId="0" fontId="22" fillId="2" borderId="10" xfId="0" applyFont="1" applyFill="1" applyBorder="1" applyAlignment="1">
      <alignment horizontal="left" vertical="top" wrapText="1"/>
    </xf>
    <xf numFmtId="0" fontId="54" fillId="2" borderId="4" xfId="0" applyFont="1" applyFill="1" applyBorder="1" applyAlignment="1">
      <alignment horizontal="center" vertical="center"/>
    </xf>
    <xf numFmtId="0" fontId="54" fillId="2" borderId="6" xfId="0" applyFont="1" applyFill="1" applyBorder="1" applyAlignment="1">
      <alignment horizontal="center" vertical="center"/>
    </xf>
    <xf numFmtId="0" fontId="54" fillId="2" borderId="2" xfId="0" applyFont="1" applyFill="1" applyBorder="1" applyAlignment="1">
      <alignment horizontal="center" vertical="center" wrapText="1"/>
    </xf>
    <xf numFmtId="0" fontId="54" fillId="2" borderId="2" xfId="0" applyFont="1" applyFill="1" applyBorder="1" applyAlignment="1">
      <alignment horizontal="center" vertical="center"/>
    </xf>
    <xf numFmtId="0" fontId="25" fillId="2"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5"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xf>
    <xf numFmtId="0" fontId="42" fillId="0" borderId="4" xfId="0" applyFont="1" applyFill="1" applyBorder="1" applyAlignment="1">
      <alignment horizontal="center" vertical="center"/>
    </xf>
    <xf numFmtId="0" fontId="42" fillId="0" borderId="5" xfId="0" applyFont="1" applyFill="1" applyBorder="1" applyAlignment="1">
      <alignment horizontal="center" vertical="center"/>
    </xf>
    <xf numFmtId="0" fontId="27" fillId="0" borderId="4" xfId="0" applyFont="1" applyFill="1" applyBorder="1" applyAlignment="1">
      <alignment horizontal="left" vertical="center"/>
    </xf>
    <xf numFmtId="0" fontId="27" fillId="0" borderId="6" xfId="0" applyFont="1" applyFill="1" applyBorder="1" applyAlignment="1">
      <alignment horizontal="left" vertical="center"/>
    </xf>
    <xf numFmtId="0" fontId="27" fillId="0" borderId="5" xfId="0" applyFont="1" applyFill="1" applyBorder="1" applyAlignment="1">
      <alignment horizontal="left" vertical="center"/>
    </xf>
    <xf numFmtId="0" fontId="2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2" xfId="0" applyFont="1" applyFill="1" applyBorder="1" applyAlignment="1">
      <alignment horizontal="center" vertical="center"/>
    </xf>
    <xf numFmtId="49" fontId="55" fillId="0" borderId="4" xfId="0" applyNumberFormat="1" applyFont="1" applyBorder="1" applyAlignment="1">
      <alignment horizontal="center" vertical="center"/>
    </xf>
    <xf numFmtId="49" fontId="55" fillId="0" borderId="5" xfId="0" applyNumberFormat="1" applyFont="1" applyBorder="1" applyAlignment="1">
      <alignment horizontal="center" vertical="center"/>
    </xf>
    <xf numFmtId="0" fontId="55" fillId="0" borderId="0" xfId="0" applyFont="1" applyAlignment="1">
      <alignment horizontal="center" wrapText="1"/>
    </xf>
    <xf numFmtId="0" fontId="55" fillId="0" borderId="2" xfId="0" applyFont="1" applyBorder="1" applyAlignment="1">
      <alignment horizontal="center" vertical="center"/>
    </xf>
    <xf numFmtId="0" fontId="55" fillId="0" borderId="4" xfId="0" applyFont="1" applyBorder="1" applyAlignment="1">
      <alignment horizontal="center" vertical="center"/>
    </xf>
    <xf numFmtId="0" fontId="55" fillId="0" borderId="5" xfId="0" applyFont="1" applyBorder="1" applyAlignment="1">
      <alignment horizontal="center" vertical="center"/>
    </xf>
    <xf numFmtId="0" fontId="48" fillId="0" borderId="1" xfId="0" applyFont="1" applyBorder="1" applyAlignment="1">
      <alignment horizontal="center" wrapText="1"/>
    </xf>
    <xf numFmtId="0" fontId="48" fillId="0" borderId="1" xfId="0" applyFont="1" applyBorder="1" applyAlignment="1">
      <alignment horizontal="center"/>
    </xf>
    <xf numFmtId="0" fontId="25" fillId="0" borderId="0" xfId="0" applyFont="1" applyAlignment="1">
      <alignment horizontal="justify" vertical="center" wrapText="1"/>
    </xf>
    <xf numFmtId="0" fontId="54" fillId="0" borderId="8" xfId="0" applyFont="1" applyBorder="1" applyAlignment="1">
      <alignment horizontal="center" vertical="center"/>
    </xf>
    <xf numFmtId="0" fontId="54" fillId="0" borderId="3" xfId="0" applyFont="1" applyBorder="1" applyAlignment="1">
      <alignment horizontal="center" vertical="center"/>
    </xf>
    <xf numFmtId="0" fontId="54" fillId="0" borderId="8" xfId="0" applyFont="1" applyBorder="1" applyAlignment="1">
      <alignment horizontal="center" vertical="center" wrapText="1"/>
    </xf>
    <xf numFmtId="0" fontId="54" fillId="0" borderId="3" xfId="0" applyFont="1" applyBorder="1" applyAlignment="1">
      <alignment horizontal="center" vertical="center" wrapText="1"/>
    </xf>
    <xf numFmtId="0" fontId="54" fillId="0" borderId="4" xfId="0" applyFont="1" applyBorder="1" applyAlignment="1">
      <alignment horizontal="center" wrapText="1"/>
    </xf>
    <xf numFmtId="0" fontId="54" fillId="0" borderId="6" xfId="0" applyFont="1" applyBorder="1" applyAlignment="1">
      <alignment horizontal="center" wrapText="1"/>
    </xf>
    <xf numFmtId="0" fontId="54" fillId="0" borderId="5" xfId="0" applyFont="1" applyBorder="1" applyAlignment="1">
      <alignment horizontal="center" wrapText="1"/>
    </xf>
  </cellXfs>
  <cellStyles count="27">
    <cellStyle name="Comma" xfId="2" builtinId="3"/>
    <cellStyle name="Comma 2" xfId="4"/>
    <cellStyle name="Comma 3" xfId="5"/>
    <cellStyle name="Comma 4" xfId="6"/>
    <cellStyle name="Comma 5" xfId="3"/>
    <cellStyle name="Comma 7" xfId="7"/>
    <cellStyle name="Comma 8" xfId="8"/>
    <cellStyle name="Comma 9" xfId="9"/>
    <cellStyle name="Excel Built-in Normal" xfId="10"/>
    <cellStyle name="Normal" xfId="0" builtinId="0"/>
    <cellStyle name="Normal 10" xfId="11"/>
    <cellStyle name="Normal 10 2" xfId="12"/>
    <cellStyle name="Normal 11" xfId="26"/>
    <cellStyle name="Normal 19" xfId="13"/>
    <cellStyle name="Normal 2" xfId="1"/>
    <cellStyle name="Normal 2 2" xfId="14"/>
    <cellStyle name="Normal 2 3" xfId="15"/>
    <cellStyle name="Normal 2 4" xfId="25"/>
    <cellStyle name="Normal 2 5" xfId="16"/>
    <cellStyle name="Normal 2_PHU LỤC HUONG DAN THUC HIEN 2015 (24-12)" xfId="17"/>
    <cellStyle name="Normal 3" xfId="18"/>
    <cellStyle name="Normal 4" xfId="19"/>
    <cellStyle name="Normal 5" xfId="20"/>
    <cellStyle name="Normal 6" xfId="21"/>
    <cellStyle name="Normal 7" xfId="22"/>
    <cellStyle name="Normal 8" xfId="23"/>
    <cellStyle name="Normal 9"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10583</xdr:colOff>
      <xdr:row>1</xdr:row>
      <xdr:rowOff>10583</xdr:rowOff>
    </xdr:from>
    <xdr:to>
      <xdr:col>1</xdr:col>
      <xdr:colOff>1386416</xdr:colOff>
      <xdr:row>1</xdr:row>
      <xdr:rowOff>1354666</xdr:rowOff>
    </xdr:to>
    <xdr:cxnSp macro="">
      <xdr:nvCxnSpPr>
        <xdr:cNvPr id="2" name="Straight Connector 1">
          <a:extLst>
            <a:ext uri="{FF2B5EF4-FFF2-40B4-BE49-F238E27FC236}">
              <a16:creationId xmlns="" xmlns:a16="http://schemas.microsoft.com/office/drawing/2014/main" id="{00000000-0008-0000-0400-000002000000}"/>
            </a:ext>
          </a:extLst>
        </xdr:cNvPr>
        <xdr:cNvCxnSpPr/>
      </xdr:nvCxnSpPr>
      <xdr:spPr>
        <a:xfrm>
          <a:off x="248708" y="458258"/>
          <a:ext cx="1375833" cy="1048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10583</xdr:colOff>
      <xdr:row>1</xdr:row>
      <xdr:rowOff>10583</xdr:rowOff>
    </xdr:from>
    <xdr:to>
      <xdr:col>1</xdr:col>
      <xdr:colOff>1386416</xdr:colOff>
      <xdr:row>1</xdr:row>
      <xdr:rowOff>1354666</xdr:rowOff>
    </xdr:to>
    <xdr:cxnSp macro="">
      <xdr:nvCxnSpPr>
        <xdr:cNvPr id="2" name="Straight Connector 1">
          <a:extLst>
            <a:ext uri="{FF2B5EF4-FFF2-40B4-BE49-F238E27FC236}">
              <a16:creationId xmlns="" xmlns:a16="http://schemas.microsoft.com/office/drawing/2014/main" id="{00000000-0008-0000-0500-000002000000}"/>
            </a:ext>
          </a:extLst>
        </xdr:cNvPr>
        <xdr:cNvCxnSpPr/>
      </xdr:nvCxnSpPr>
      <xdr:spPr>
        <a:xfrm>
          <a:off x="248708" y="458258"/>
          <a:ext cx="1375833" cy="1048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10583</xdr:colOff>
      <xdr:row>1</xdr:row>
      <xdr:rowOff>10583</xdr:rowOff>
    </xdr:from>
    <xdr:to>
      <xdr:col>1</xdr:col>
      <xdr:colOff>1386416</xdr:colOff>
      <xdr:row>1</xdr:row>
      <xdr:rowOff>1354666</xdr:rowOff>
    </xdr:to>
    <xdr:cxnSp macro="">
      <xdr:nvCxnSpPr>
        <xdr:cNvPr id="2" name="Straight Connector 1">
          <a:extLst>
            <a:ext uri="{FF2B5EF4-FFF2-40B4-BE49-F238E27FC236}">
              <a16:creationId xmlns="" xmlns:a16="http://schemas.microsoft.com/office/drawing/2014/main" id="{00000000-0008-0000-0600-000002000000}"/>
            </a:ext>
          </a:extLst>
        </xdr:cNvPr>
        <xdr:cNvCxnSpPr/>
      </xdr:nvCxnSpPr>
      <xdr:spPr>
        <a:xfrm>
          <a:off x="248708" y="458258"/>
          <a:ext cx="1375833" cy="1048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10583</xdr:colOff>
      <xdr:row>1</xdr:row>
      <xdr:rowOff>10583</xdr:rowOff>
    </xdr:from>
    <xdr:to>
      <xdr:col>1</xdr:col>
      <xdr:colOff>1386416</xdr:colOff>
      <xdr:row>1</xdr:row>
      <xdr:rowOff>1354666</xdr:rowOff>
    </xdr:to>
    <xdr:cxnSp macro="">
      <xdr:nvCxnSpPr>
        <xdr:cNvPr id="2" name="Straight Connector 1">
          <a:extLst>
            <a:ext uri="{FF2B5EF4-FFF2-40B4-BE49-F238E27FC236}">
              <a16:creationId xmlns="" xmlns:a16="http://schemas.microsoft.com/office/drawing/2014/main" id="{00000000-0008-0000-0700-000002000000}"/>
            </a:ext>
          </a:extLst>
        </xdr:cNvPr>
        <xdr:cNvCxnSpPr/>
      </xdr:nvCxnSpPr>
      <xdr:spPr>
        <a:xfrm>
          <a:off x="248708" y="458258"/>
          <a:ext cx="1375833" cy="1048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10583</xdr:colOff>
      <xdr:row>1</xdr:row>
      <xdr:rowOff>10583</xdr:rowOff>
    </xdr:from>
    <xdr:to>
      <xdr:col>1</xdr:col>
      <xdr:colOff>1386416</xdr:colOff>
      <xdr:row>1</xdr:row>
      <xdr:rowOff>1354666</xdr:rowOff>
    </xdr:to>
    <xdr:cxnSp macro="">
      <xdr:nvCxnSpPr>
        <xdr:cNvPr id="2" name="Straight Connector 1">
          <a:extLst>
            <a:ext uri="{FF2B5EF4-FFF2-40B4-BE49-F238E27FC236}">
              <a16:creationId xmlns="" xmlns:a16="http://schemas.microsoft.com/office/drawing/2014/main" id="{00000000-0008-0000-0800-000002000000}"/>
            </a:ext>
          </a:extLst>
        </xdr:cNvPr>
        <xdr:cNvCxnSpPr/>
      </xdr:nvCxnSpPr>
      <xdr:spPr>
        <a:xfrm>
          <a:off x="248708" y="458258"/>
          <a:ext cx="1375833" cy="1048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10583</xdr:colOff>
      <xdr:row>1</xdr:row>
      <xdr:rowOff>10583</xdr:rowOff>
    </xdr:from>
    <xdr:to>
      <xdr:col>1</xdr:col>
      <xdr:colOff>1386416</xdr:colOff>
      <xdr:row>1</xdr:row>
      <xdr:rowOff>1354666</xdr:rowOff>
    </xdr:to>
    <xdr:cxnSp macro="">
      <xdr:nvCxnSpPr>
        <xdr:cNvPr id="2" name="Straight Connector 1">
          <a:extLst>
            <a:ext uri="{FF2B5EF4-FFF2-40B4-BE49-F238E27FC236}">
              <a16:creationId xmlns="" xmlns:a16="http://schemas.microsoft.com/office/drawing/2014/main" id="{00000000-0008-0000-0900-000002000000}"/>
            </a:ext>
          </a:extLst>
        </xdr:cNvPr>
        <xdr:cNvCxnSpPr/>
      </xdr:nvCxnSpPr>
      <xdr:spPr>
        <a:xfrm>
          <a:off x="248708" y="458258"/>
          <a:ext cx="1375833" cy="10488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110"/>
  <sheetViews>
    <sheetView topLeftCell="A56" zoomScaleNormal="100" workbookViewId="0">
      <selection sqref="A1:V1"/>
    </sheetView>
  </sheetViews>
  <sheetFormatPr defaultRowHeight="12.75" x14ac:dyDescent="0.2"/>
  <cols>
    <col min="1" max="1" width="3.5703125" style="1" bestFit="1" customWidth="1"/>
    <col min="2" max="2" width="17.28515625" style="1" bestFit="1" customWidth="1"/>
    <col min="3" max="3" width="7.28515625" style="1" customWidth="1"/>
    <col min="4" max="4" width="7" style="1" customWidth="1"/>
    <col min="5" max="5" width="5.7109375" style="1" customWidth="1"/>
    <col min="6" max="6" width="4.7109375" style="1" bestFit="1" customWidth="1"/>
    <col min="7" max="7" width="7.28515625" style="1" customWidth="1"/>
    <col min="8" max="8" width="5.42578125" style="1" bestFit="1" customWidth="1"/>
    <col min="9" max="9" width="6" style="1" customWidth="1"/>
    <col min="10" max="10" width="7.28515625" style="1" customWidth="1"/>
    <col min="11" max="11" width="6.140625" style="1" customWidth="1"/>
    <col min="12" max="12" width="10.140625" style="1" bestFit="1" customWidth="1"/>
    <col min="13" max="13" width="15.5703125" style="1" customWidth="1"/>
    <col min="14" max="14" width="7" style="1" customWidth="1"/>
    <col min="15" max="15" width="5.7109375" style="1" customWidth="1"/>
    <col min="16" max="16" width="5.85546875" style="11" customWidth="1"/>
    <col min="17" max="17" width="5.5703125" style="1" customWidth="1"/>
    <col min="18" max="18" width="5" style="1" customWidth="1"/>
    <col min="19" max="19" width="5.85546875" style="1" customWidth="1"/>
    <col min="20" max="20" width="6.5703125" style="1" customWidth="1"/>
    <col min="21" max="21" width="5.5703125" style="1" customWidth="1"/>
    <col min="22" max="22" width="5.140625" style="1" customWidth="1"/>
    <col min="23" max="16384" width="9.140625" style="1"/>
  </cols>
  <sheetData>
    <row r="1" spans="1:23" ht="47.25" customHeight="1" x14ac:dyDescent="0.2">
      <c r="A1" s="270" t="s">
        <v>131</v>
      </c>
      <c r="B1" s="270"/>
      <c r="C1" s="270"/>
      <c r="D1" s="270"/>
      <c r="E1" s="270"/>
      <c r="F1" s="270"/>
      <c r="G1" s="270"/>
      <c r="H1" s="270"/>
      <c r="I1" s="270"/>
      <c r="J1" s="270"/>
      <c r="K1" s="270"/>
      <c r="L1" s="270"/>
      <c r="M1" s="270"/>
      <c r="N1" s="270"/>
      <c r="O1" s="270"/>
      <c r="P1" s="270"/>
      <c r="Q1" s="270"/>
      <c r="R1" s="270"/>
      <c r="S1" s="270"/>
      <c r="T1" s="270"/>
      <c r="U1" s="270"/>
      <c r="V1" s="270"/>
    </row>
    <row r="2" spans="1:23" ht="4.5" customHeight="1" x14ac:dyDescent="0.2">
      <c r="C2" s="15"/>
      <c r="D2" s="15"/>
      <c r="E2" s="15"/>
      <c r="F2" s="15"/>
      <c r="G2" s="15"/>
      <c r="H2" s="15"/>
      <c r="I2" s="15"/>
      <c r="J2" s="15"/>
      <c r="K2" s="15"/>
      <c r="L2" s="15"/>
      <c r="M2" s="15"/>
      <c r="N2" s="15"/>
      <c r="O2" s="15"/>
      <c r="P2" s="24"/>
      <c r="Q2" s="15"/>
      <c r="R2" s="15"/>
      <c r="S2" s="15"/>
      <c r="T2" s="15"/>
      <c r="U2" s="15"/>
      <c r="V2" s="15"/>
    </row>
    <row r="3" spans="1:23" s="18" customFormat="1" ht="102" customHeight="1" x14ac:dyDescent="0.2">
      <c r="A3" s="3" t="s">
        <v>76</v>
      </c>
      <c r="B3" s="2" t="s">
        <v>108</v>
      </c>
      <c r="C3" s="2" t="s">
        <v>0</v>
      </c>
      <c r="D3" s="2" t="s">
        <v>1</v>
      </c>
      <c r="E3" s="2" t="s">
        <v>2</v>
      </c>
      <c r="F3" s="3" t="s">
        <v>3</v>
      </c>
      <c r="G3" s="2" t="s">
        <v>4</v>
      </c>
      <c r="H3" s="2" t="s">
        <v>5</v>
      </c>
      <c r="I3" s="2" t="s">
        <v>101</v>
      </c>
      <c r="J3" s="2" t="s">
        <v>100</v>
      </c>
      <c r="K3" s="2" t="s">
        <v>6</v>
      </c>
      <c r="L3" s="2" t="s">
        <v>7</v>
      </c>
      <c r="M3" s="2" t="s">
        <v>8</v>
      </c>
      <c r="N3" s="2" t="s">
        <v>102</v>
      </c>
      <c r="O3" s="2" t="s">
        <v>103</v>
      </c>
      <c r="P3" s="25" t="s">
        <v>104</v>
      </c>
      <c r="Q3" s="2" t="s">
        <v>9</v>
      </c>
      <c r="R3" s="2" t="s">
        <v>10</v>
      </c>
      <c r="S3" s="2" t="s">
        <v>105</v>
      </c>
      <c r="T3" s="2" t="s">
        <v>106</v>
      </c>
      <c r="U3" s="2" t="s">
        <v>107</v>
      </c>
      <c r="V3" s="4" t="s">
        <v>11</v>
      </c>
    </row>
    <row r="4" spans="1:23" s="40" customFormat="1" ht="8.25" customHeight="1" x14ac:dyDescent="0.2">
      <c r="A4" s="36"/>
      <c r="B4" s="37"/>
      <c r="C4" s="38">
        <v>1</v>
      </c>
      <c r="D4" s="38">
        <v>2</v>
      </c>
      <c r="E4" s="38">
        <v>3</v>
      </c>
      <c r="F4" s="38">
        <v>4</v>
      </c>
      <c r="G4" s="38">
        <v>5</v>
      </c>
      <c r="H4" s="38">
        <v>6</v>
      </c>
      <c r="I4" s="38">
        <v>7</v>
      </c>
      <c r="J4" s="38">
        <v>8</v>
      </c>
      <c r="K4" s="38">
        <v>9</v>
      </c>
      <c r="L4" s="38">
        <v>10</v>
      </c>
      <c r="M4" s="38">
        <v>11</v>
      </c>
      <c r="N4" s="38">
        <v>12</v>
      </c>
      <c r="O4" s="38">
        <v>13</v>
      </c>
      <c r="P4" s="39">
        <v>14</v>
      </c>
      <c r="Q4" s="38">
        <v>15</v>
      </c>
      <c r="R4" s="38">
        <v>16</v>
      </c>
      <c r="S4" s="38">
        <v>17</v>
      </c>
      <c r="T4" s="38">
        <v>18</v>
      </c>
      <c r="U4" s="38">
        <v>19</v>
      </c>
      <c r="V4" s="38">
        <v>20</v>
      </c>
    </row>
    <row r="5" spans="1:23" ht="19.5" customHeight="1" x14ac:dyDescent="0.2">
      <c r="A5" s="271" t="s">
        <v>12</v>
      </c>
      <c r="B5" s="272"/>
      <c r="C5" s="30"/>
      <c r="D5" s="30"/>
      <c r="E5" s="30"/>
      <c r="F5" s="30"/>
      <c r="G5" s="30"/>
      <c r="H5" s="30"/>
      <c r="I5" s="30"/>
      <c r="J5" s="30"/>
      <c r="K5" s="30"/>
      <c r="L5" s="30"/>
      <c r="M5" s="30"/>
      <c r="N5" s="30"/>
      <c r="O5" s="30"/>
      <c r="P5" s="31"/>
      <c r="Q5" s="30"/>
      <c r="R5" s="30"/>
      <c r="S5" s="30"/>
      <c r="T5" s="30"/>
      <c r="U5" s="30"/>
      <c r="V5" s="30"/>
    </row>
    <row r="6" spans="1:23" s="5" customFormat="1" ht="12.95" customHeight="1" x14ac:dyDescent="0.2">
      <c r="A6" s="261" t="s">
        <v>13</v>
      </c>
      <c r="B6" s="262"/>
      <c r="C6" s="29">
        <f>COUNTIF(C7:C26,"x")</f>
        <v>0</v>
      </c>
      <c r="D6" s="29">
        <f t="shared" ref="D6:U6" si="0">COUNTIF(D7:D26,"x")</f>
        <v>0</v>
      </c>
      <c r="E6" s="29">
        <f t="shared" si="0"/>
        <v>3</v>
      </c>
      <c r="F6" s="29">
        <f t="shared" si="0"/>
        <v>20</v>
      </c>
      <c r="G6" s="29">
        <f t="shared" si="0"/>
        <v>5</v>
      </c>
      <c r="H6" s="29">
        <f t="shared" si="0"/>
        <v>7</v>
      </c>
      <c r="I6" s="29">
        <f t="shared" si="0"/>
        <v>18</v>
      </c>
      <c r="J6" s="29">
        <f t="shared" si="0"/>
        <v>14</v>
      </c>
      <c r="K6" s="29">
        <f t="shared" si="0"/>
        <v>13</v>
      </c>
      <c r="L6" s="29">
        <f t="shared" si="0"/>
        <v>0</v>
      </c>
      <c r="M6" s="29">
        <f t="shared" si="0"/>
        <v>1</v>
      </c>
      <c r="N6" s="29">
        <f t="shared" si="0"/>
        <v>3</v>
      </c>
      <c r="O6" s="29">
        <f t="shared" si="0"/>
        <v>8</v>
      </c>
      <c r="P6" s="29">
        <f t="shared" si="0"/>
        <v>2</v>
      </c>
      <c r="Q6" s="29">
        <f t="shared" si="0"/>
        <v>1</v>
      </c>
      <c r="R6" s="29">
        <f t="shared" si="0"/>
        <v>18</v>
      </c>
      <c r="S6" s="29">
        <f t="shared" si="0"/>
        <v>7</v>
      </c>
      <c r="T6" s="29">
        <f t="shared" si="0"/>
        <v>7</v>
      </c>
      <c r="U6" s="29">
        <f t="shared" si="0"/>
        <v>19</v>
      </c>
      <c r="V6" s="32">
        <f>SUM(V7:V26)/20</f>
        <v>7.3</v>
      </c>
    </row>
    <row r="7" spans="1:23" ht="12.95" customHeight="1" x14ac:dyDescent="0.2">
      <c r="A7" s="6">
        <v>1</v>
      </c>
      <c r="B7" s="7" t="s">
        <v>19</v>
      </c>
      <c r="C7" s="63"/>
      <c r="D7" s="63"/>
      <c r="E7" s="63"/>
      <c r="F7" s="63" t="s">
        <v>99</v>
      </c>
      <c r="G7" s="63"/>
      <c r="H7" s="63"/>
      <c r="I7" s="63" t="s">
        <v>99</v>
      </c>
      <c r="J7" s="63"/>
      <c r="K7" s="63" t="s">
        <v>99</v>
      </c>
      <c r="L7" s="63"/>
      <c r="M7" s="63"/>
      <c r="N7" s="63"/>
      <c r="O7" s="63"/>
      <c r="P7" s="33"/>
      <c r="Q7" s="63"/>
      <c r="R7" s="63" t="s">
        <v>99</v>
      </c>
      <c r="S7" s="63"/>
      <c r="T7" s="63" t="s">
        <v>99</v>
      </c>
      <c r="U7" s="63" t="s">
        <v>99</v>
      </c>
      <c r="V7" s="6">
        <f t="shared" ref="V7:V26" si="1">COUNTIF(C7:U7,"x")</f>
        <v>6</v>
      </c>
    </row>
    <row r="8" spans="1:23" ht="12.95" customHeight="1" x14ac:dyDescent="0.2">
      <c r="A8" s="43">
        <v>2</v>
      </c>
      <c r="B8" s="69" t="s">
        <v>32</v>
      </c>
      <c r="C8" s="41"/>
      <c r="D8" s="41"/>
      <c r="E8" s="41"/>
      <c r="F8" s="41" t="s">
        <v>99</v>
      </c>
      <c r="G8" s="41" t="s">
        <v>99</v>
      </c>
      <c r="H8" s="41" t="s">
        <v>99</v>
      </c>
      <c r="I8" s="41"/>
      <c r="J8" s="41"/>
      <c r="K8" s="41"/>
      <c r="L8" s="41"/>
      <c r="M8" s="41"/>
      <c r="N8" s="41" t="s">
        <v>99</v>
      </c>
      <c r="O8" s="41" t="s">
        <v>99</v>
      </c>
      <c r="P8" s="42"/>
      <c r="Q8" s="41"/>
      <c r="R8" s="41" t="s">
        <v>99</v>
      </c>
      <c r="S8" s="41" t="s">
        <v>99</v>
      </c>
      <c r="T8" s="41"/>
      <c r="U8" s="41"/>
      <c r="V8" s="43">
        <f t="shared" si="1"/>
        <v>7</v>
      </c>
    </row>
    <row r="9" spans="1:23" ht="12.95" customHeight="1" x14ac:dyDescent="0.2">
      <c r="A9" s="43">
        <v>3</v>
      </c>
      <c r="B9" s="69" t="s">
        <v>31</v>
      </c>
      <c r="C9" s="41"/>
      <c r="D9" s="41"/>
      <c r="E9" s="41"/>
      <c r="F9" s="41" t="s">
        <v>99</v>
      </c>
      <c r="G9" s="41"/>
      <c r="H9" s="41"/>
      <c r="I9" s="41" t="s">
        <v>99</v>
      </c>
      <c r="J9" s="41"/>
      <c r="K9" s="41"/>
      <c r="L9" s="41"/>
      <c r="M9" s="41"/>
      <c r="N9" s="41"/>
      <c r="O9" s="41"/>
      <c r="P9" s="42"/>
      <c r="Q9" s="41"/>
      <c r="R9" s="41"/>
      <c r="S9" s="41"/>
      <c r="T9" s="41"/>
      <c r="U9" s="41" t="s">
        <v>99</v>
      </c>
      <c r="V9" s="6">
        <f t="shared" si="1"/>
        <v>3</v>
      </c>
    </row>
    <row r="10" spans="1:23" ht="12.95" customHeight="1" x14ac:dyDescent="0.2">
      <c r="A10" s="43">
        <v>4</v>
      </c>
      <c r="B10" s="69" t="s">
        <v>33</v>
      </c>
      <c r="C10" s="41"/>
      <c r="D10" s="41"/>
      <c r="E10" s="41"/>
      <c r="F10" s="41" t="s">
        <v>99</v>
      </c>
      <c r="G10" s="41"/>
      <c r="H10" s="41"/>
      <c r="I10" s="41" t="s">
        <v>99</v>
      </c>
      <c r="J10" s="41"/>
      <c r="K10" s="41" t="s">
        <v>99</v>
      </c>
      <c r="L10" s="41"/>
      <c r="M10" s="41"/>
      <c r="N10" s="41"/>
      <c r="O10" s="41"/>
      <c r="P10" s="42"/>
      <c r="Q10" s="41"/>
      <c r="R10" s="41" t="s">
        <v>99</v>
      </c>
      <c r="S10" s="41"/>
      <c r="T10" s="41" t="s">
        <v>99</v>
      </c>
      <c r="U10" s="41" t="s">
        <v>99</v>
      </c>
      <c r="V10" s="43">
        <f t="shared" si="1"/>
        <v>6</v>
      </c>
    </row>
    <row r="11" spans="1:23" s="11" customFormat="1" ht="12.95" customHeight="1" x14ac:dyDescent="0.2">
      <c r="A11" s="6">
        <v>5</v>
      </c>
      <c r="B11" s="7" t="s">
        <v>17</v>
      </c>
      <c r="C11" s="63"/>
      <c r="D11" s="63"/>
      <c r="E11" s="63"/>
      <c r="F11" s="63" t="s">
        <v>99</v>
      </c>
      <c r="G11" s="63"/>
      <c r="H11" s="63"/>
      <c r="I11" s="63" t="s">
        <v>99</v>
      </c>
      <c r="J11" s="63" t="s">
        <v>99</v>
      </c>
      <c r="K11" s="63" t="s">
        <v>99</v>
      </c>
      <c r="L11" s="63"/>
      <c r="M11" s="63"/>
      <c r="N11" s="63"/>
      <c r="O11" s="63" t="s">
        <v>99</v>
      </c>
      <c r="P11" s="33"/>
      <c r="Q11" s="63"/>
      <c r="R11" s="63" t="s">
        <v>99</v>
      </c>
      <c r="S11" s="63" t="s">
        <v>99</v>
      </c>
      <c r="T11" s="63"/>
      <c r="U11" s="63" t="s">
        <v>99</v>
      </c>
      <c r="V11" s="6">
        <f t="shared" si="1"/>
        <v>8</v>
      </c>
      <c r="W11" s="1"/>
    </row>
    <row r="12" spans="1:23" ht="12.95" customHeight="1" x14ac:dyDescent="0.2">
      <c r="A12" s="43">
        <v>6</v>
      </c>
      <c r="B12" s="72" t="s">
        <v>30</v>
      </c>
      <c r="C12" s="41"/>
      <c r="D12" s="41"/>
      <c r="E12" s="41"/>
      <c r="F12" s="41" t="s">
        <v>99</v>
      </c>
      <c r="G12" s="41"/>
      <c r="H12" s="41"/>
      <c r="I12" s="41" t="s">
        <v>99</v>
      </c>
      <c r="J12" s="41"/>
      <c r="K12" s="41"/>
      <c r="L12" s="41"/>
      <c r="M12" s="41"/>
      <c r="N12" s="41"/>
      <c r="O12" s="41"/>
      <c r="P12" s="42"/>
      <c r="Q12" s="41"/>
      <c r="R12" s="41" t="s">
        <v>99</v>
      </c>
      <c r="S12" s="41"/>
      <c r="T12" s="41"/>
      <c r="U12" s="41" t="s">
        <v>99</v>
      </c>
      <c r="V12" s="43">
        <f t="shared" si="1"/>
        <v>4</v>
      </c>
      <c r="W12" s="11"/>
    </row>
    <row r="13" spans="1:23" s="11" customFormat="1" ht="12.95" customHeight="1" x14ac:dyDescent="0.2">
      <c r="A13" s="6">
        <v>7</v>
      </c>
      <c r="B13" s="10" t="s">
        <v>28</v>
      </c>
      <c r="C13" s="63"/>
      <c r="D13" s="63"/>
      <c r="E13" s="63" t="s">
        <v>99</v>
      </c>
      <c r="F13" s="63" t="s">
        <v>99</v>
      </c>
      <c r="G13" s="63"/>
      <c r="H13" s="63"/>
      <c r="I13" s="63"/>
      <c r="J13" s="63" t="s">
        <v>99</v>
      </c>
      <c r="K13" s="63" t="s">
        <v>99</v>
      </c>
      <c r="L13" s="63"/>
      <c r="M13" s="63"/>
      <c r="N13" s="63"/>
      <c r="O13" s="63" t="s">
        <v>99</v>
      </c>
      <c r="P13" s="33"/>
      <c r="Q13" s="63"/>
      <c r="R13" s="63" t="s">
        <v>99</v>
      </c>
      <c r="S13" s="63"/>
      <c r="T13" s="63" t="s">
        <v>99</v>
      </c>
      <c r="U13" s="63" t="s">
        <v>99</v>
      </c>
      <c r="V13" s="6">
        <f t="shared" si="1"/>
        <v>8</v>
      </c>
    </row>
    <row r="14" spans="1:23" ht="12.95" customHeight="1" x14ac:dyDescent="0.2">
      <c r="A14" s="43">
        <v>8</v>
      </c>
      <c r="B14" s="69" t="s">
        <v>29</v>
      </c>
      <c r="C14" s="41"/>
      <c r="D14" s="41"/>
      <c r="E14" s="41"/>
      <c r="F14" s="41" t="s">
        <v>99</v>
      </c>
      <c r="G14" s="41" t="s">
        <v>99</v>
      </c>
      <c r="H14" s="41" t="s">
        <v>99</v>
      </c>
      <c r="I14" s="41" t="s">
        <v>99</v>
      </c>
      <c r="J14" s="41" t="s">
        <v>99</v>
      </c>
      <c r="K14" s="41"/>
      <c r="L14" s="41"/>
      <c r="M14" s="41"/>
      <c r="N14" s="41"/>
      <c r="O14" s="41"/>
      <c r="P14" s="42" t="s">
        <v>99</v>
      </c>
      <c r="Q14" s="41"/>
      <c r="R14" s="41" t="s">
        <v>99</v>
      </c>
      <c r="S14" s="41"/>
      <c r="T14" s="41"/>
      <c r="U14" s="41" t="s">
        <v>99</v>
      </c>
      <c r="V14" s="43">
        <f t="shared" si="1"/>
        <v>8</v>
      </c>
    </row>
    <row r="15" spans="1:23" ht="12.95" customHeight="1" x14ac:dyDescent="0.2">
      <c r="A15" s="43">
        <v>9</v>
      </c>
      <c r="B15" s="69" t="s">
        <v>27</v>
      </c>
      <c r="C15" s="41"/>
      <c r="D15" s="41"/>
      <c r="E15" s="41"/>
      <c r="F15" s="41" t="s">
        <v>99</v>
      </c>
      <c r="G15" s="41" t="s">
        <v>99</v>
      </c>
      <c r="H15" s="41" t="s">
        <v>99</v>
      </c>
      <c r="I15" s="41" t="s">
        <v>99</v>
      </c>
      <c r="J15" s="41" t="s">
        <v>99</v>
      </c>
      <c r="K15" s="41" t="s">
        <v>99</v>
      </c>
      <c r="L15" s="41"/>
      <c r="M15" s="41"/>
      <c r="N15" s="41"/>
      <c r="O15" s="41" t="s">
        <v>99</v>
      </c>
      <c r="P15" s="42"/>
      <c r="Q15" s="41"/>
      <c r="R15" s="41" t="s">
        <v>99</v>
      </c>
      <c r="S15" s="41" t="s">
        <v>99</v>
      </c>
      <c r="T15" s="41" t="s">
        <v>99</v>
      </c>
      <c r="U15" s="41" t="s">
        <v>99</v>
      </c>
      <c r="V15" s="43">
        <f t="shared" si="1"/>
        <v>11</v>
      </c>
    </row>
    <row r="16" spans="1:23" ht="12.95" customHeight="1" x14ac:dyDescent="0.2">
      <c r="A16" s="43">
        <v>10</v>
      </c>
      <c r="B16" s="69" t="s">
        <v>16</v>
      </c>
      <c r="C16" s="41"/>
      <c r="D16" s="41"/>
      <c r="E16" s="41"/>
      <c r="F16" s="41" t="s">
        <v>99</v>
      </c>
      <c r="G16" s="41"/>
      <c r="H16" s="41"/>
      <c r="I16" s="41" t="s">
        <v>99</v>
      </c>
      <c r="J16" s="41" t="s">
        <v>99</v>
      </c>
      <c r="K16" s="41"/>
      <c r="L16" s="41"/>
      <c r="M16" s="41"/>
      <c r="N16" s="41"/>
      <c r="O16" s="41"/>
      <c r="P16" s="42"/>
      <c r="Q16" s="41"/>
      <c r="R16" s="41" t="s">
        <v>99</v>
      </c>
      <c r="S16" s="41" t="s">
        <v>99</v>
      </c>
      <c r="T16" s="41"/>
      <c r="U16" s="41" t="s">
        <v>99</v>
      </c>
      <c r="V16" s="43">
        <f t="shared" si="1"/>
        <v>6</v>
      </c>
    </row>
    <row r="17" spans="1:23" ht="12.95" customHeight="1" x14ac:dyDescent="0.2">
      <c r="A17" s="43">
        <v>11</v>
      </c>
      <c r="B17" s="69" t="s">
        <v>26</v>
      </c>
      <c r="C17" s="41"/>
      <c r="D17" s="41"/>
      <c r="E17" s="41"/>
      <c r="F17" s="41" t="s">
        <v>99</v>
      </c>
      <c r="G17" s="41"/>
      <c r="H17" s="41"/>
      <c r="I17" s="41" t="s">
        <v>99</v>
      </c>
      <c r="J17" s="41" t="s">
        <v>99</v>
      </c>
      <c r="K17" s="41"/>
      <c r="L17" s="41"/>
      <c r="M17" s="41"/>
      <c r="N17" s="41"/>
      <c r="O17" s="41"/>
      <c r="P17" s="42"/>
      <c r="Q17" s="41"/>
      <c r="R17" s="41" t="s">
        <v>99</v>
      </c>
      <c r="S17" s="41"/>
      <c r="T17" s="41"/>
      <c r="U17" s="41" t="s">
        <v>99</v>
      </c>
      <c r="V17" s="43">
        <f t="shared" si="1"/>
        <v>5</v>
      </c>
    </row>
    <row r="18" spans="1:23" ht="12.95" customHeight="1" x14ac:dyDescent="0.2">
      <c r="A18" s="6">
        <v>12</v>
      </c>
      <c r="B18" s="7" t="s">
        <v>25</v>
      </c>
      <c r="C18" s="63"/>
      <c r="D18" s="63"/>
      <c r="E18" s="63"/>
      <c r="F18" s="63" t="s">
        <v>99</v>
      </c>
      <c r="G18" s="63"/>
      <c r="H18" s="63"/>
      <c r="I18" s="63" t="s">
        <v>99</v>
      </c>
      <c r="J18" s="63" t="s">
        <v>99</v>
      </c>
      <c r="K18" s="63" t="s">
        <v>99</v>
      </c>
      <c r="L18" s="63"/>
      <c r="M18" s="63"/>
      <c r="N18" s="63"/>
      <c r="O18" s="63"/>
      <c r="P18" s="33"/>
      <c r="Q18" s="63"/>
      <c r="R18" s="63" t="s">
        <v>99</v>
      </c>
      <c r="S18" s="63"/>
      <c r="T18" s="63"/>
      <c r="U18" s="63" t="s">
        <v>99</v>
      </c>
      <c r="V18" s="6">
        <f t="shared" si="1"/>
        <v>6</v>
      </c>
    </row>
    <row r="19" spans="1:23" ht="12.95" customHeight="1" x14ac:dyDescent="0.2">
      <c r="A19" s="43">
        <v>13</v>
      </c>
      <c r="B19" s="69" t="s">
        <v>22</v>
      </c>
      <c r="C19" s="41"/>
      <c r="D19" s="41"/>
      <c r="E19" s="41"/>
      <c r="F19" s="41" t="s">
        <v>99</v>
      </c>
      <c r="G19" s="41"/>
      <c r="H19" s="41"/>
      <c r="I19" s="41" t="s">
        <v>99</v>
      </c>
      <c r="J19" s="41" t="s">
        <v>99</v>
      </c>
      <c r="K19" s="41" t="s">
        <v>99</v>
      </c>
      <c r="L19" s="41"/>
      <c r="M19" s="41" t="s">
        <v>99</v>
      </c>
      <c r="N19" s="41"/>
      <c r="O19" s="41" t="s">
        <v>99</v>
      </c>
      <c r="P19" s="42"/>
      <c r="Q19" s="41"/>
      <c r="R19" s="41" t="s">
        <v>99</v>
      </c>
      <c r="S19" s="41"/>
      <c r="T19" s="41" t="s">
        <v>99</v>
      </c>
      <c r="U19" s="41" t="s">
        <v>99</v>
      </c>
      <c r="V19" s="43">
        <f t="shared" si="1"/>
        <v>9</v>
      </c>
    </row>
    <row r="20" spans="1:23" ht="12.95" customHeight="1" x14ac:dyDescent="0.2">
      <c r="A20" s="43">
        <v>14</v>
      </c>
      <c r="B20" s="72" t="s">
        <v>20</v>
      </c>
      <c r="C20" s="41"/>
      <c r="D20" s="41"/>
      <c r="E20" s="41"/>
      <c r="F20" s="41" t="s">
        <v>99</v>
      </c>
      <c r="G20" s="41"/>
      <c r="H20" s="41"/>
      <c r="I20" s="41" t="s">
        <v>99</v>
      </c>
      <c r="J20" s="41" t="s">
        <v>99</v>
      </c>
      <c r="K20" s="41" t="s">
        <v>99</v>
      </c>
      <c r="L20" s="41"/>
      <c r="M20" s="41"/>
      <c r="N20" s="41"/>
      <c r="O20" s="41" t="s">
        <v>99</v>
      </c>
      <c r="P20" s="42"/>
      <c r="Q20" s="41"/>
      <c r="R20" s="41" t="s">
        <v>99</v>
      </c>
      <c r="S20" s="41"/>
      <c r="T20" s="41"/>
      <c r="U20" s="41" t="s">
        <v>99</v>
      </c>
      <c r="V20" s="43">
        <f t="shared" si="1"/>
        <v>7</v>
      </c>
      <c r="W20" s="11"/>
    </row>
    <row r="21" spans="1:23" s="11" customFormat="1" ht="12.95" customHeight="1" x14ac:dyDescent="0.2">
      <c r="A21" s="43">
        <v>15</v>
      </c>
      <c r="B21" s="69" t="s">
        <v>21</v>
      </c>
      <c r="C21" s="41"/>
      <c r="D21" s="41"/>
      <c r="E21" s="41"/>
      <c r="F21" s="41" t="s">
        <v>99</v>
      </c>
      <c r="G21" s="41"/>
      <c r="H21" s="41" t="s">
        <v>99</v>
      </c>
      <c r="I21" s="41" t="s">
        <v>99</v>
      </c>
      <c r="J21" s="41" t="s">
        <v>99</v>
      </c>
      <c r="K21" s="41" t="s">
        <v>99</v>
      </c>
      <c r="L21" s="41"/>
      <c r="M21" s="41"/>
      <c r="N21" s="41" t="s">
        <v>99</v>
      </c>
      <c r="O21" s="41" t="s">
        <v>99</v>
      </c>
      <c r="P21" s="42" t="s">
        <v>99</v>
      </c>
      <c r="Q21" s="41" t="s">
        <v>99</v>
      </c>
      <c r="R21" s="41" t="s">
        <v>99</v>
      </c>
      <c r="S21" s="41" t="s">
        <v>99</v>
      </c>
      <c r="T21" s="41"/>
      <c r="U21" s="41" t="s">
        <v>99</v>
      </c>
      <c r="V21" s="43">
        <f t="shared" si="1"/>
        <v>12</v>
      </c>
      <c r="W21" s="1"/>
    </row>
    <row r="22" spans="1:23" ht="12.95" customHeight="1" x14ac:dyDescent="0.2">
      <c r="A22" s="43">
        <v>16</v>
      </c>
      <c r="B22" s="69" t="s">
        <v>14</v>
      </c>
      <c r="C22" s="41"/>
      <c r="D22" s="41"/>
      <c r="E22" s="41"/>
      <c r="F22" s="41" t="s">
        <v>99</v>
      </c>
      <c r="G22" s="41"/>
      <c r="H22" s="41" t="s">
        <v>99</v>
      </c>
      <c r="I22" s="41" t="s">
        <v>99</v>
      </c>
      <c r="J22" s="41" t="s">
        <v>99</v>
      </c>
      <c r="K22" s="41" t="s">
        <v>99</v>
      </c>
      <c r="L22" s="41"/>
      <c r="M22" s="41"/>
      <c r="N22" s="41"/>
      <c r="O22" s="41" t="s">
        <v>99</v>
      </c>
      <c r="P22" s="42"/>
      <c r="Q22" s="41"/>
      <c r="R22" s="41" t="s">
        <v>99</v>
      </c>
      <c r="S22" s="41"/>
      <c r="T22" s="41"/>
      <c r="U22" s="41" t="s">
        <v>99</v>
      </c>
      <c r="V22" s="6">
        <f t="shared" si="1"/>
        <v>8</v>
      </c>
    </row>
    <row r="23" spans="1:23" s="11" customFormat="1" ht="12.95" customHeight="1" x14ac:dyDescent="0.2">
      <c r="A23" s="43">
        <v>17</v>
      </c>
      <c r="B23" s="69" t="s">
        <v>15</v>
      </c>
      <c r="C23" s="41"/>
      <c r="D23" s="41"/>
      <c r="E23" s="41" t="s">
        <v>99</v>
      </c>
      <c r="F23" s="41" t="s">
        <v>99</v>
      </c>
      <c r="G23" s="41" t="s">
        <v>99</v>
      </c>
      <c r="H23" s="41" t="s">
        <v>99</v>
      </c>
      <c r="I23" s="41" t="s">
        <v>99</v>
      </c>
      <c r="J23" s="41" t="s">
        <v>99</v>
      </c>
      <c r="K23" s="41" t="s">
        <v>99</v>
      </c>
      <c r="L23" s="41"/>
      <c r="M23" s="41"/>
      <c r="N23" s="41"/>
      <c r="O23" s="41"/>
      <c r="P23" s="42"/>
      <c r="Q23" s="41"/>
      <c r="R23" s="41" t="s">
        <v>99</v>
      </c>
      <c r="S23" s="41" t="s">
        <v>99</v>
      </c>
      <c r="T23" s="41" t="s">
        <v>99</v>
      </c>
      <c r="U23" s="41" t="s">
        <v>99</v>
      </c>
      <c r="V23" s="43">
        <f t="shared" si="1"/>
        <v>11</v>
      </c>
      <c r="W23" s="1"/>
    </row>
    <row r="24" spans="1:23" ht="12.95" customHeight="1" x14ac:dyDescent="0.2">
      <c r="A24" s="43">
        <v>18</v>
      </c>
      <c r="B24" s="72" t="s">
        <v>18</v>
      </c>
      <c r="C24" s="41"/>
      <c r="D24" s="41"/>
      <c r="E24" s="41"/>
      <c r="F24" s="41" t="s">
        <v>99</v>
      </c>
      <c r="G24" s="41" t="s">
        <v>99</v>
      </c>
      <c r="H24" s="41"/>
      <c r="I24" s="41" t="s">
        <v>99</v>
      </c>
      <c r="J24" s="41" t="s">
        <v>99</v>
      </c>
      <c r="K24" s="41" t="s">
        <v>99</v>
      </c>
      <c r="L24" s="41"/>
      <c r="M24" s="41"/>
      <c r="N24" s="41"/>
      <c r="O24" s="41"/>
      <c r="P24" s="42"/>
      <c r="Q24" s="41"/>
      <c r="R24" s="41"/>
      <c r="S24" s="41"/>
      <c r="T24" s="41"/>
      <c r="U24" s="41" t="s">
        <v>99</v>
      </c>
      <c r="V24" s="43">
        <f t="shared" si="1"/>
        <v>6</v>
      </c>
      <c r="W24" s="11"/>
    </row>
    <row r="25" spans="1:23" ht="12.95" customHeight="1" x14ac:dyDescent="0.2">
      <c r="A25" s="6">
        <v>19</v>
      </c>
      <c r="B25" s="7" t="s">
        <v>24</v>
      </c>
      <c r="C25" s="63"/>
      <c r="D25" s="63"/>
      <c r="E25" s="63" t="s">
        <v>99</v>
      </c>
      <c r="F25" s="63" t="s">
        <v>99</v>
      </c>
      <c r="G25" s="63"/>
      <c r="H25" s="63" t="s">
        <v>99</v>
      </c>
      <c r="I25" s="63" t="s">
        <v>99</v>
      </c>
      <c r="J25" s="63" t="s">
        <v>99</v>
      </c>
      <c r="K25" s="63"/>
      <c r="L25" s="63"/>
      <c r="M25" s="63"/>
      <c r="N25" s="63" t="s">
        <v>99</v>
      </c>
      <c r="O25" s="63"/>
      <c r="P25" s="33"/>
      <c r="Q25" s="63"/>
      <c r="R25" s="63" t="s">
        <v>99</v>
      </c>
      <c r="S25" s="63" t="s">
        <v>99</v>
      </c>
      <c r="T25" s="63"/>
      <c r="U25" s="63" t="s">
        <v>99</v>
      </c>
      <c r="V25" s="6">
        <f t="shared" si="1"/>
        <v>9</v>
      </c>
    </row>
    <row r="26" spans="1:23" ht="12.95" customHeight="1" x14ac:dyDescent="0.2">
      <c r="A26" s="6">
        <v>20</v>
      </c>
      <c r="B26" s="7" t="s">
        <v>23</v>
      </c>
      <c r="C26" s="63"/>
      <c r="D26" s="63"/>
      <c r="E26" s="63"/>
      <c r="F26" s="63" t="s">
        <v>99</v>
      </c>
      <c r="G26" s="63"/>
      <c r="H26" s="63"/>
      <c r="I26" s="63" t="s">
        <v>99</v>
      </c>
      <c r="J26" s="63"/>
      <c r="K26" s="63" t="s">
        <v>99</v>
      </c>
      <c r="L26" s="63"/>
      <c r="M26" s="63"/>
      <c r="N26" s="63"/>
      <c r="O26" s="63"/>
      <c r="P26" s="33"/>
      <c r="Q26" s="63"/>
      <c r="R26" s="63" t="s">
        <v>99</v>
      </c>
      <c r="S26" s="63"/>
      <c r="T26" s="63" t="s">
        <v>99</v>
      </c>
      <c r="U26" s="63" t="s">
        <v>99</v>
      </c>
      <c r="V26" s="6">
        <f t="shared" si="1"/>
        <v>6</v>
      </c>
    </row>
    <row r="27" spans="1:23" s="5" customFormat="1" ht="12.95" customHeight="1" x14ac:dyDescent="0.2">
      <c r="A27" s="261" t="s">
        <v>34</v>
      </c>
      <c r="B27" s="262"/>
      <c r="C27" s="29">
        <f>COUNTIF(C28:C37, "x")</f>
        <v>0</v>
      </c>
      <c r="D27" s="29">
        <f t="shared" ref="D27:U27" si="2">COUNTIF(D28:D37, "x")</f>
        <v>0</v>
      </c>
      <c r="E27" s="29">
        <f t="shared" si="2"/>
        <v>4</v>
      </c>
      <c r="F27" s="29">
        <f t="shared" si="2"/>
        <v>10</v>
      </c>
      <c r="G27" s="29">
        <f t="shared" si="2"/>
        <v>3</v>
      </c>
      <c r="H27" s="29">
        <f t="shared" si="2"/>
        <v>5</v>
      </c>
      <c r="I27" s="29">
        <f t="shared" si="2"/>
        <v>8</v>
      </c>
      <c r="J27" s="29">
        <f t="shared" si="2"/>
        <v>7</v>
      </c>
      <c r="K27" s="29">
        <f t="shared" si="2"/>
        <v>6</v>
      </c>
      <c r="L27" s="29">
        <f t="shared" si="2"/>
        <v>0</v>
      </c>
      <c r="M27" s="29">
        <f t="shared" si="2"/>
        <v>1</v>
      </c>
      <c r="N27" s="29">
        <f t="shared" si="2"/>
        <v>3</v>
      </c>
      <c r="O27" s="29">
        <f t="shared" si="2"/>
        <v>5</v>
      </c>
      <c r="P27" s="29">
        <f t="shared" si="2"/>
        <v>3</v>
      </c>
      <c r="Q27" s="29">
        <f t="shared" si="2"/>
        <v>0</v>
      </c>
      <c r="R27" s="29">
        <f t="shared" si="2"/>
        <v>8</v>
      </c>
      <c r="S27" s="29">
        <f t="shared" si="2"/>
        <v>1</v>
      </c>
      <c r="T27" s="29">
        <f t="shared" si="2"/>
        <v>4</v>
      </c>
      <c r="U27" s="29">
        <f t="shared" si="2"/>
        <v>8</v>
      </c>
      <c r="V27" s="32">
        <f>SUM(V28:V37)/10</f>
        <v>7.6</v>
      </c>
    </row>
    <row r="28" spans="1:23" ht="12.95" customHeight="1" x14ac:dyDescent="0.2">
      <c r="A28" s="43">
        <v>1</v>
      </c>
      <c r="B28" s="69" t="s">
        <v>41</v>
      </c>
      <c r="C28" s="41"/>
      <c r="D28" s="41"/>
      <c r="E28" s="41"/>
      <c r="F28" s="41" t="s">
        <v>99</v>
      </c>
      <c r="G28" s="41"/>
      <c r="H28" s="41"/>
      <c r="I28" s="41" t="s">
        <v>99</v>
      </c>
      <c r="J28" s="41" t="s">
        <v>99</v>
      </c>
      <c r="K28" s="41"/>
      <c r="L28" s="41"/>
      <c r="M28" s="41"/>
      <c r="N28" s="41"/>
      <c r="O28" s="41" t="s">
        <v>99</v>
      </c>
      <c r="P28" s="42" t="s">
        <v>99</v>
      </c>
      <c r="Q28" s="41"/>
      <c r="R28" s="41" t="s">
        <v>99</v>
      </c>
      <c r="S28" s="41"/>
      <c r="T28" s="41"/>
      <c r="U28" s="41" t="s">
        <v>99</v>
      </c>
      <c r="V28" s="43">
        <f t="shared" ref="V28:V37" si="3">COUNTIF(C28:U28,"x")</f>
        <v>7</v>
      </c>
    </row>
    <row r="29" spans="1:23" ht="12.95" customHeight="1" x14ac:dyDescent="0.2">
      <c r="A29" s="9">
        <v>2</v>
      </c>
      <c r="B29" s="10" t="s">
        <v>39</v>
      </c>
      <c r="C29" s="63"/>
      <c r="D29" s="63"/>
      <c r="E29" s="63"/>
      <c r="F29" s="63" t="s">
        <v>99</v>
      </c>
      <c r="G29" s="63"/>
      <c r="H29" s="63" t="s">
        <v>99</v>
      </c>
      <c r="I29" s="63" t="s">
        <v>99</v>
      </c>
      <c r="J29" s="63" t="s">
        <v>99</v>
      </c>
      <c r="K29" s="63" t="s">
        <v>99</v>
      </c>
      <c r="L29" s="63"/>
      <c r="M29" s="63"/>
      <c r="N29" s="63" t="s">
        <v>99</v>
      </c>
      <c r="O29" s="63" t="s">
        <v>99</v>
      </c>
      <c r="P29" s="33"/>
      <c r="Q29" s="63"/>
      <c r="R29" s="63" t="s">
        <v>99</v>
      </c>
      <c r="S29" s="63" t="s">
        <v>99</v>
      </c>
      <c r="T29" s="63"/>
      <c r="U29" s="63" t="s">
        <v>99</v>
      </c>
      <c r="V29" s="6">
        <f t="shared" si="3"/>
        <v>10</v>
      </c>
      <c r="W29" s="11"/>
    </row>
    <row r="30" spans="1:23" s="11" customFormat="1" ht="12.95" customHeight="1" x14ac:dyDescent="0.2">
      <c r="A30" s="6">
        <v>3</v>
      </c>
      <c r="B30" s="7" t="s">
        <v>36</v>
      </c>
      <c r="C30" s="63"/>
      <c r="D30" s="63"/>
      <c r="E30" s="63" t="s">
        <v>99</v>
      </c>
      <c r="F30" s="63" t="s">
        <v>99</v>
      </c>
      <c r="G30" s="63" t="s">
        <v>99</v>
      </c>
      <c r="H30" s="63"/>
      <c r="I30" s="63"/>
      <c r="J30" s="63"/>
      <c r="K30" s="63" t="s">
        <v>99</v>
      </c>
      <c r="L30" s="63"/>
      <c r="M30" s="63"/>
      <c r="N30" s="63" t="s">
        <v>99</v>
      </c>
      <c r="O30" s="63"/>
      <c r="P30" s="33"/>
      <c r="Q30" s="63"/>
      <c r="R30" s="63" t="s">
        <v>99</v>
      </c>
      <c r="S30" s="63"/>
      <c r="T30" s="63"/>
      <c r="U30" s="63" t="s">
        <v>99</v>
      </c>
      <c r="V30" s="6">
        <f t="shared" si="3"/>
        <v>7</v>
      </c>
      <c r="W30" s="1"/>
    </row>
    <row r="31" spans="1:23" s="11" customFormat="1" ht="12.95" customHeight="1" x14ac:dyDescent="0.2">
      <c r="A31" s="9">
        <v>4</v>
      </c>
      <c r="B31" s="7" t="s">
        <v>40</v>
      </c>
      <c r="C31" s="63"/>
      <c r="D31" s="63"/>
      <c r="E31" s="63"/>
      <c r="F31" s="63" t="s">
        <v>99</v>
      </c>
      <c r="G31" s="63"/>
      <c r="H31" s="63" t="s">
        <v>99</v>
      </c>
      <c r="I31" s="63" t="s">
        <v>99</v>
      </c>
      <c r="J31" s="63" t="s">
        <v>99</v>
      </c>
      <c r="K31" s="63"/>
      <c r="L31" s="63"/>
      <c r="M31" s="63"/>
      <c r="N31" s="63" t="s">
        <v>99</v>
      </c>
      <c r="O31" s="63"/>
      <c r="P31" s="33" t="s">
        <v>99</v>
      </c>
      <c r="Q31" s="63"/>
      <c r="R31" s="63"/>
      <c r="S31" s="63"/>
      <c r="T31" s="63" t="s">
        <v>99</v>
      </c>
      <c r="U31" s="63" t="s">
        <v>99</v>
      </c>
      <c r="V31" s="6">
        <f t="shared" si="3"/>
        <v>8</v>
      </c>
      <c r="W31" s="1"/>
    </row>
    <row r="32" spans="1:23" s="11" customFormat="1" ht="12.95" customHeight="1" x14ac:dyDescent="0.2">
      <c r="A32" s="43">
        <v>5</v>
      </c>
      <c r="B32" s="69" t="s">
        <v>42</v>
      </c>
      <c r="C32" s="41"/>
      <c r="D32" s="41"/>
      <c r="E32" s="41"/>
      <c r="F32" s="41" t="s">
        <v>99</v>
      </c>
      <c r="G32" s="41" t="s">
        <v>99</v>
      </c>
      <c r="H32" s="41"/>
      <c r="I32" s="41"/>
      <c r="J32" s="41"/>
      <c r="K32" s="41"/>
      <c r="L32" s="41"/>
      <c r="M32" s="41"/>
      <c r="N32" s="41"/>
      <c r="O32" s="41" t="s">
        <v>99</v>
      </c>
      <c r="P32" s="42"/>
      <c r="Q32" s="41"/>
      <c r="R32" s="41" t="s">
        <v>99</v>
      </c>
      <c r="S32" s="41"/>
      <c r="T32" s="41" t="s">
        <v>99</v>
      </c>
      <c r="U32" s="41" t="s">
        <v>99</v>
      </c>
      <c r="V32" s="43">
        <f t="shared" si="3"/>
        <v>6</v>
      </c>
      <c r="W32" s="1"/>
    </row>
    <row r="33" spans="1:23" ht="12.95" customHeight="1" x14ac:dyDescent="0.2">
      <c r="A33" s="73">
        <v>6</v>
      </c>
      <c r="B33" s="69" t="s">
        <v>43</v>
      </c>
      <c r="C33" s="41"/>
      <c r="D33" s="41"/>
      <c r="E33" s="41" t="s">
        <v>99</v>
      </c>
      <c r="F33" s="41" t="s">
        <v>99</v>
      </c>
      <c r="G33" s="41"/>
      <c r="H33" s="41"/>
      <c r="I33" s="41" t="s">
        <v>99</v>
      </c>
      <c r="J33" s="41" t="s">
        <v>99</v>
      </c>
      <c r="K33" s="41" t="s">
        <v>99</v>
      </c>
      <c r="L33" s="41"/>
      <c r="M33" s="41" t="s">
        <v>99</v>
      </c>
      <c r="N33" s="41"/>
      <c r="O33" s="41" t="s">
        <v>99</v>
      </c>
      <c r="P33" s="42"/>
      <c r="Q33" s="41"/>
      <c r="R33" s="41" t="s">
        <v>99</v>
      </c>
      <c r="S33" s="41"/>
      <c r="T33" s="41" t="s">
        <v>99</v>
      </c>
      <c r="U33" s="41"/>
      <c r="V33" s="43">
        <f t="shared" si="3"/>
        <v>9</v>
      </c>
    </row>
    <row r="34" spans="1:23" ht="12.95" customHeight="1" x14ac:dyDescent="0.2">
      <c r="A34" s="43">
        <v>7</v>
      </c>
      <c r="B34" s="72" t="s">
        <v>37</v>
      </c>
      <c r="C34" s="41"/>
      <c r="D34" s="41"/>
      <c r="E34" s="41"/>
      <c r="F34" s="41" t="s">
        <v>99</v>
      </c>
      <c r="G34" s="41"/>
      <c r="H34" s="41"/>
      <c r="I34" s="41" t="s">
        <v>99</v>
      </c>
      <c r="J34" s="41" t="s">
        <v>99</v>
      </c>
      <c r="K34" s="41"/>
      <c r="L34" s="41"/>
      <c r="M34" s="41"/>
      <c r="N34" s="41"/>
      <c r="O34" s="41"/>
      <c r="P34" s="42" t="s">
        <v>99</v>
      </c>
      <c r="Q34" s="41"/>
      <c r="R34" s="41" t="s">
        <v>99</v>
      </c>
      <c r="S34" s="41"/>
      <c r="T34" s="41"/>
      <c r="U34" s="41"/>
      <c r="V34" s="43">
        <f t="shared" si="3"/>
        <v>5</v>
      </c>
      <c r="W34" s="11"/>
    </row>
    <row r="35" spans="1:23" ht="12.95" customHeight="1" x14ac:dyDescent="0.2">
      <c r="A35" s="9">
        <v>8</v>
      </c>
      <c r="B35" s="7" t="s">
        <v>44</v>
      </c>
      <c r="C35" s="63"/>
      <c r="D35" s="63"/>
      <c r="E35" s="63" t="s">
        <v>99</v>
      </c>
      <c r="F35" s="63" t="s">
        <v>99</v>
      </c>
      <c r="G35" s="63"/>
      <c r="H35" s="63" t="s">
        <v>99</v>
      </c>
      <c r="I35" s="63" t="s">
        <v>99</v>
      </c>
      <c r="J35" s="63" t="s">
        <v>99</v>
      </c>
      <c r="K35" s="63" t="s">
        <v>99</v>
      </c>
      <c r="L35" s="63"/>
      <c r="M35" s="63"/>
      <c r="N35" s="63"/>
      <c r="O35" s="63"/>
      <c r="P35" s="33"/>
      <c r="Q35" s="63"/>
      <c r="R35" s="63" t="s">
        <v>99</v>
      </c>
      <c r="S35" s="63"/>
      <c r="T35" s="63" t="s">
        <v>99</v>
      </c>
      <c r="U35" s="63" t="s">
        <v>99</v>
      </c>
      <c r="V35" s="6">
        <f t="shared" si="3"/>
        <v>9</v>
      </c>
    </row>
    <row r="36" spans="1:23" ht="12.95" customHeight="1" x14ac:dyDescent="0.2">
      <c r="A36" s="43">
        <v>9</v>
      </c>
      <c r="B36" s="72" t="s">
        <v>38</v>
      </c>
      <c r="C36" s="41"/>
      <c r="D36" s="41"/>
      <c r="E36" s="41"/>
      <c r="F36" s="41" t="s">
        <v>99</v>
      </c>
      <c r="G36" s="41"/>
      <c r="H36" s="41" t="s">
        <v>99</v>
      </c>
      <c r="I36" s="41" t="s">
        <v>99</v>
      </c>
      <c r="J36" s="41"/>
      <c r="K36" s="41" t="s">
        <v>99</v>
      </c>
      <c r="L36" s="41"/>
      <c r="M36" s="41"/>
      <c r="N36" s="41"/>
      <c r="O36" s="41"/>
      <c r="P36" s="42"/>
      <c r="Q36" s="41"/>
      <c r="R36" s="41" t="s">
        <v>99</v>
      </c>
      <c r="S36" s="41"/>
      <c r="T36" s="41"/>
      <c r="U36" s="41" t="s">
        <v>99</v>
      </c>
      <c r="V36" s="43">
        <f t="shared" si="3"/>
        <v>6</v>
      </c>
      <c r="W36" s="11"/>
    </row>
    <row r="37" spans="1:23" ht="12.95" customHeight="1" x14ac:dyDescent="0.2">
      <c r="A37" s="9">
        <v>10</v>
      </c>
      <c r="B37" s="7" t="s">
        <v>35</v>
      </c>
      <c r="C37" s="63"/>
      <c r="D37" s="63"/>
      <c r="E37" s="63" t="s">
        <v>99</v>
      </c>
      <c r="F37" s="63" t="s">
        <v>99</v>
      </c>
      <c r="G37" s="63" t="s">
        <v>99</v>
      </c>
      <c r="H37" s="63" t="s">
        <v>99</v>
      </c>
      <c r="I37" s="63" t="s">
        <v>99</v>
      </c>
      <c r="J37" s="63" t="s">
        <v>99</v>
      </c>
      <c r="K37" s="63" t="s">
        <v>99</v>
      </c>
      <c r="L37" s="63"/>
      <c r="M37" s="63"/>
      <c r="N37" s="63"/>
      <c r="O37" s="63" t="s">
        <v>99</v>
      </c>
      <c r="P37" s="33"/>
      <c r="Q37" s="63"/>
      <c r="R37" s="63"/>
      <c r="S37" s="63"/>
      <c r="T37" s="63"/>
      <c r="U37" s="63" t="s">
        <v>99</v>
      </c>
      <c r="V37" s="6">
        <f t="shared" si="3"/>
        <v>9</v>
      </c>
    </row>
    <row r="38" spans="1:23" s="5" customFormat="1" ht="12.95" customHeight="1" x14ac:dyDescent="0.2">
      <c r="A38" s="261" t="s">
        <v>45</v>
      </c>
      <c r="B38" s="262"/>
      <c r="C38" s="29">
        <f>COUNTIF(C39:C52, "x")</f>
        <v>1</v>
      </c>
      <c r="D38" s="29">
        <f t="shared" ref="D38:U38" si="4">COUNTIF(D39:D52, "x")</f>
        <v>0</v>
      </c>
      <c r="E38" s="29">
        <f t="shared" si="4"/>
        <v>0</v>
      </c>
      <c r="F38" s="29">
        <f t="shared" si="4"/>
        <v>14</v>
      </c>
      <c r="G38" s="29">
        <f t="shared" si="4"/>
        <v>4</v>
      </c>
      <c r="H38" s="29">
        <f t="shared" si="4"/>
        <v>2</v>
      </c>
      <c r="I38" s="29">
        <f t="shared" si="4"/>
        <v>11</v>
      </c>
      <c r="J38" s="29">
        <f t="shared" si="4"/>
        <v>8</v>
      </c>
      <c r="K38" s="29">
        <f t="shared" si="4"/>
        <v>6</v>
      </c>
      <c r="L38" s="29">
        <f t="shared" si="4"/>
        <v>0</v>
      </c>
      <c r="M38" s="29">
        <f t="shared" si="4"/>
        <v>1</v>
      </c>
      <c r="N38" s="29">
        <f t="shared" si="4"/>
        <v>6</v>
      </c>
      <c r="O38" s="29">
        <f t="shared" si="4"/>
        <v>6</v>
      </c>
      <c r="P38" s="29">
        <f t="shared" si="4"/>
        <v>4</v>
      </c>
      <c r="Q38" s="29">
        <f t="shared" si="4"/>
        <v>1</v>
      </c>
      <c r="R38" s="29">
        <f t="shared" si="4"/>
        <v>10</v>
      </c>
      <c r="S38" s="29">
        <f t="shared" si="4"/>
        <v>0</v>
      </c>
      <c r="T38" s="29">
        <f t="shared" si="4"/>
        <v>4</v>
      </c>
      <c r="U38" s="29">
        <f t="shared" si="4"/>
        <v>12</v>
      </c>
      <c r="V38" s="32">
        <f>SUM(V39:V52)/14</f>
        <v>6.4285714285714288</v>
      </c>
    </row>
    <row r="39" spans="1:23" ht="12.95" customHeight="1" x14ac:dyDescent="0.2">
      <c r="A39" s="43">
        <v>1</v>
      </c>
      <c r="B39" s="69" t="s">
        <v>52</v>
      </c>
      <c r="C39" s="41"/>
      <c r="D39" s="41"/>
      <c r="E39" s="41"/>
      <c r="F39" s="41" t="s">
        <v>99</v>
      </c>
      <c r="G39" s="41"/>
      <c r="H39" s="41" t="s">
        <v>99</v>
      </c>
      <c r="I39" s="41" t="s">
        <v>99</v>
      </c>
      <c r="J39" s="41" t="s">
        <v>99</v>
      </c>
      <c r="K39" s="41"/>
      <c r="L39" s="41"/>
      <c r="M39" s="41"/>
      <c r="N39" s="41" t="s">
        <v>99</v>
      </c>
      <c r="O39" s="41"/>
      <c r="P39" s="42"/>
      <c r="Q39" s="41"/>
      <c r="R39" s="41" t="s">
        <v>99</v>
      </c>
      <c r="S39" s="41"/>
      <c r="T39" s="41"/>
      <c r="U39" s="41"/>
      <c r="V39" s="43">
        <f t="shared" ref="V39:V52" si="5">COUNTIF(C39:U39,"x")</f>
        <v>6</v>
      </c>
    </row>
    <row r="40" spans="1:23" ht="12.75" customHeight="1" x14ac:dyDescent="0.2">
      <c r="A40" s="43">
        <v>2</v>
      </c>
      <c r="B40" s="69" t="s">
        <v>50</v>
      </c>
      <c r="C40" s="41"/>
      <c r="D40" s="41"/>
      <c r="E40" s="41"/>
      <c r="F40" s="41" t="s">
        <v>99</v>
      </c>
      <c r="G40" s="41"/>
      <c r="H40" s="41"/>
      <c r="I40" s="41" t="s">
        <v>99</v>
      </c>
      <c r="J40" s="41" t="s">
        <v>99</v>
      </c>
      <c r="K40" s="41" t="s">
        <v>99</v>
      </c>
      <c r="L40" s="41"/>
      <c r="M40" s="41"/>
      <c r="N40" s="41" t="s">
        <v>99</v>
      </c>
      <c r="O40" s="41"/>
      <c r="P40" s="42"/>
      <c r="Q40" s="41"/>
      <c r="R40" s="41" t="s">
        <v>99</v>
      </c>
      <c r="S40" s="41"/>
      <c r="T40" s="41"/>
      <c r="U40" s="41" t="s">
        <v>99</v>
      </c>
      <c r="V40" s="6">
        <f t="shared" si="5"/>
        <v>7</v>
      </c>
    </row>
    <row r="41" spans="1:23" ht="12.95" customHeight="1" x14ac:dyDescent="0.2">
      <c r="A41" s="43">
        <v>3</v>
      </c>
      <c r="B41" s="69" t="s">
        <v>47</v>
      </c>
      <c r="C41" s="41"/>
      <c r="D41" s="41"/>
      <c r="E41" s="41"/>
      <c r="F41" s="41" t="s">
        <v>99</v>
      </c>
      <c r="G41" s="41"/>
      <c r="H41" s="41"/>
      <c r="I41" s="41" t="s">
        <v>99</v>
      </c>
      <c r="J41" s="41" t="s">
        <v>99</v>
      </c>
      <c r="K41" s="41"/>
      <c r="L41" s="41"/>
      <c r="M41" s="41"/>
      <c r="N41" s="41"/>
      <c r="O41" s="41"/>
      <c r="P41" s="42" t="s">
        <v>99</v>
      </c>
      <c r="Q41" s="41"/>
      <c r="R41" s="41" t="s">
        <v>99</v>
      </c>
      <c r="S41" s="41"/>
      <c r="T41" s="41"/>
      <c r="U41" s="41" t="s">
        <v>99</v>
      </c>
      <c r="V41" s="43">
        <f t="shared" si="5"/>
        <v>6</v>
      </c>
    </row>
    <row r="42" spans="1:23" ht="12.95" customHeight="1" x14ac:dyDescent="0.2">
      <c r="A42" s="43">
        <v>4</v>
      </c>
      <c r="B42" s="69" t="s">
        <v>49</v>
      </c>
      <c r="C42" s="41"/>
      <c r="D42" s="41"/>
      <c r="E42" s="41"/>
      <c r="F42" s="41" t="s">
        <v>99</v>
      </c>
      <c r="G42" s="41"/>
      <c r="H42" s="41"/>
      <c r="I42" s="41"/>
      <c r="J42" s="41" t="s">
        <v>99</v>
      </c>
      <c r="K42" s="41"/>
      <c r="L42" s="41"/>
      <c r="M42" s="41"/>
      <c r="N42" s="41" t="s">
        <v>99</v>
      </c>
      <c r="O42" s="41"/>
      <c r="P42" s="42"/>
      <c r="Q42" s="41"/>
      <c r="R42" s="41" t="s">
        <v>99</v>
      </c>
      <c r="S42" s="41"/>
      <c r="T42" s="41" t="s">
        <v>99</v>
      </c>
      <c r="U42" s="41" t="s">
        <v>99</v>
      </c>
      <c r="V42" s="43">
        <f t="shared" si="5"/>
        <v>6</v>
      </c>
    </row>
    <row r="43" spans="1:23" ht="12.95" customHeight="1" x14ac:dyDescent="0.2">
      <c r="A43" s="43">
        <v>5</v>
      </c>
      <c r="B43" s="69" t="s">
        <v>59</v>
      </c>
      <c r="C43" s="41"/>
      <c r="D43" s="41"/>
      <c r="E43" s="41"/>
      <c r="F43" s="41" t="s">
        <v>99</v>
      </c>
      <c r="G43" s="41"/>
      <c r="H43" s="41"/>
      <c r="I43" s="41" t="s">
        <v>99</v>
      </c>
      <c r="J43" s="41" t="s">
        <v>99</v>
      </c>
      <c r="K43" s="41" t="s">
        <v>99</v>
      </c>
      <c r="L43" s="41"/>
      <c r="M43" s="41"/>
      <c r="N43" s="41"/>
      <c r="O43" s="41" t="s">
        <v>99</v>
      </c>
      <c r="P43" s="42"/>
      <c r="Q43" s="41"/>
      <c r="R43" s="41" t="s">
        <v>99</v>
      </c>
      <c r="S43" s="41"/>
      <c r="T43" s="41"/>
      <c r="U43" s="41" t="s">
        <v>99</v>
      </c>
      <c r="V43" s="43">
        <f t="shared" si="5"/>
        <v>7</v>
      </c>
    </row>
    <row r="44" spans="1:23" ht="12.95" customHeight="1" x14ac:dyDescent="0.2">
      <c r="A44" s="43">
        <v>6</v>
      </c>
      <c r="B44" s="69" t="s">
        <v>55</v>
      </c>
      <c r="C44" s="41"/>
      <c r="D44" s="41"/>
      <c r="E44" s="41"/>
      <c r="F44" s="41" t="s">
        <v>99</v>
      </c>
      <c r="G44" s="41" t="s">
        <v>99</v>
      </c>
      <c r="H44" s="41"/>
      <c r="I44" s="41" t="s">
        <v>99</v>
      </c>
      <c r="J44" s="41" t="s">
        <v>99</v>
      </c>
      <c r="K44" s="41"/>
      <c r="L44" s="41"/>
      <c r="M44" s="41"/>
      <c r="N44" s="41"/>
      <c r="O44" s="41"/>
      <c r="P44" s="42" t="s">
        <v>99</v>
      </c>
      <c r="Q44" s="41"/>
      <c r="R44" s="41"/>
      <c r="S44" s="41"/>
      <c r="T44" s="41"/>
      <c r="U44" s="41" t="s">
        <v>99</v>
      </c>
      <c r="V44" s="43">
        <f t="shared" si="5"/>
        <v>6</v>
      </c>
    </row>
    <row r="45" spans="1:23" ht="12.95" customHeight="1" x14ac:dyDescent="0.2">
      <c r="A45" s="43">
        <v>7</v>
      </c>
      <c r="B45" s="69" t="s">
        <v>54</v>
      </c>
      <c r="C45" s="41"/>
      <c r="D45" s="41"/>
      <c r="E45" s="41"/>
      <c r="F45" s="41" t="s">
        <v>99</v>
      </c>
      <c r="G45" s="41" t="s">
        <v>99</v>
      </c>
      <c r="H45" s="41"/>
      <c r="I45" s="41" t="s">
        <v>99</v>
      </c>
      <c r="J45" s="41" t="s">
        <v>99</v>
      </c>
      <c r="K45" s="41" t="s">
        <v>99</v>
      </c>
      <c r="L45" s="41"/>
      <c r="M45" s="41"/>
      <c r="N45" s="41" t="s">
        <v>99</v>
      </c>
      <c r="O45" s="41" t="s">
        <v>99</v>
      </c>
      <c r="P45" s="42"/>
      <c r="Q45" s="41"/>
      <c r="R45" s="41" t="s">
        <v>99</v>
      </c>
      <c r="S45" s="41"/>
      <c r="T45" s="41"/>
      <c r="U45" s="41" t="s">
        <v>99</v>
      </c>
      <c r="V45" s="43">
        <f t="shared" si="5"/>
        <v>9</v>
      </c>
    </row>
    <row r="46" spans="1:23" s="11" customFormat="1" ht="12.95" customHeight="1" x14ac:dyDescent="0.2">
      <c r="A46" s="43">
        <v>8</v>
      </c>
      <c r="B46" s="69" t="s">
        <v>51</v>
      </c>
      <c r="C46" s="41" t="s">
        <v>99</v>
      </c>
      <c r="D46" s="41"/>
      <c r="E46" s="41"/>
      <c r="F46" s="41" t="s">
        <v>99</v>
      </c>
      <c r="G46" s="41" t="s">
        <v>99</v>
      </c>
      <c r="H46" s="41" t="s">
        <v>99</v>
      </c>
      <c r="I46" s="41" t="s">
        <v>99</v>
      </c>
      <c r="J46" s="41"/>
      <c r="K46" s="41"/>
      <c r="L46" s="41"/>
      <c r="M46" s="41"/>
      <c r="N46" s="41"/>
      <c r="O46" s="41" t="s">
        <v>99</v>
      </c>
      <c r="P46" s="42"/>
      <c r="Q46" s="41"/>
      <c r="R46" s="41" t="s">
        <v>99</v>
      </c>
      <c r="S46" s="41"/>
      <c r="T46" s="41" t="s">
        <v>99</v>
      </c>
      <c r="U46" s="41" t="s">
        <v>99</v>
      </c>
      <c r="V46" s="43">
        <f t="shared" si="5"/>
        <v>9</v>
      </c>
      <c r="W46" s="1"/>
    </row>
    <row r="47" spans="1:23" ht="12.95" customHeight="1" x14ac:dyDescent="0.2">
      <c r="A47" s="43">
        <v>9</v>
      </c>
      <c r="B47" s="69" t="s">
        <v>48</v>
      </c>
      <c r="C47" s="41"/>
      <c r="D47" s="41"/>
      <c r="E47" s="41"/>
      <c r="F47" s="41" t="s">
        <v>99</v>
      </c>
      <c r="G47" s="41"/>
      <c r="H47" s="41"/>
      <c r="I47" s="41" t="s">
        <v>99</v>
      </c>
      <c r="J47" s="41"/>
      <c r="K47" s="41"/>
      <c r="L47" s="41"/>
      <c r="M47" s="41"/>
      <c r="N47" s="41" t="s">
        <v>99</v>
      </c>
      <c r="O47" s="41"/>
      <c r="P47" s="42"/>
      <c r="Q47" s="41" t="s">
        <v>99</v>
      </c>
      <c r="R47" s="41" t="s">
        <v>99</v>
      </c>
      <c r="S47" s="41"/>
      <c r="T47" s="41" t="s">
        <v>99</v>
      </c>
      <c r="U47" s="41"/>
      <c r="V47" s="43">
        <f t="shared" si="5"/>
        <v>6</v>
      </c>
    </row>
    <row r="48" spans="1:23" ht="12.95" customHeight="1" x14ac:dyDescent="0.2">
      <c r="A48" s="43">
        <v>10</v>
      </c>
      <c r="B48" s="72" t="s">
        <v>53</v>
      </c>
      <c r="C48" s="41"/>
      <c r="D48" s="41"/>
      <c r="E48" s="41"/>
      <c r="F48" s="41" t="s">
        <v>99</v>
      </c>
      <c r="G48" s="41"/>
      <c r="H48" s="41"/>
      <c r="I48" s="41"/>
      <c r="J48" s="41"/>
      <c r="K48" s="41"/>
      <c r="L48" s="41"/>
      <c r="M48" s="41"/>
      <c r="N48" s="41"/>
      <c r="O48" s="41" t="s">
        <v>99</v>
      </c>
      <c r="P48" s="42"/>
      <c r="Q48" s="41"/>
      <c r="R48" s="41" t="s">
        <v>99</v>
      </c>
      <c r="S48" s="41"/>
      <c r="T48" s="41"/>
      <c r="U48" s="41" t="s">
        <v>99</v>
      </c>
      <c r="V48" s="73">
        <f t="shared" si="5"/>
        <v>4</v>
      </c>
      <c r="W48" s="11"/>
    </row>
    <row r="49" spans="1:23" ht="12.95" customHeight="1" x14ac:dyDescent="0.2">
      <c r="A49" s="43">
        <v>11</v>
      </c>
      <c r="B49" s="69" t="s">
        <v>46</v>
      </c>
      <c r="C49" s="41"/>
      <c r="D49" s="41"/>
      <c r="E49" s="41"/>
      <c r="F49" s="41" t="s">
        <v>99</v>
      </c>
      <c r="G49" s="41" t="s">
        <v>99</v>
      </c>
      <c r="H49" s="41"/>
      <c r="I49" s="41"/>
      <c r="J49" s="41"/>
      <c r="K49" s="41" t="s">
        <v>99</v>
      </c>
      <c r="L49" s="41"/>
      <c r="M49" s="41"/>
      <c r="N49" s="41" t="s">
        <v>99</v>
      </c>
      <c r="O49" s="41" t="s">
        <v>99</v>
      </c>
      <c r="P49" s="42"/>
      <c r="Q49" s="41"/>
      <c r="R49" s="41"/>
      <c r="S49" s="41"/>
      <c r="T49" s="41"/>
      <c r="U49" s="41" t="s">
        <v>99</v>
      </c>
      <c r="V49" s="6">
        <f t="shared" si="5"/>
        <v>6</v>
      </c>
    </row>
    <row r="50" spans="1:23" ht="12.95" customHeight="1" x14ac:dyDescent="0.2">
      <c r="A50" s="43">
        <v>12</v>
      </c>
      <c r="B50" s="69" t="s">
        <v>58</v>
      </c>
      <c r="C50" s="41"/>
      <c r="D50" s="41"/>
      <c r="E50" s="41"/>
      <c r="F50" s="41" t="s">
        <v>99</v>
      </c>
      <c r="G50" s="41"/>
      <c r="H50" s="41"/>
      <c r="I50" s="41" t="s">
        <v>99</v>
      </c>
      <c r="J50" s="41"/>
      <c r="K50" s="41" t="s">
        <v>99</v>
      </c>
      <c r="L50" s="41"/>
      <c r="M50" s="41"/>
      <c r="N50" s="41"/>
      <c r="O50" s="41" t="s">
        <v>99</v>
      </c>
      <c r="P50" s="42" t="s">
        <v>99</v>
      </c>
      <c r="Q50" s="41"/>
      <c r="R50" s="41" t="s">
        <v>99</v>
      </c>
      <c r="S50" s="41"/>
      <c r="T50" s="41"/>
      <c r="U50" s="41" t="s">
        <v>99</v>
      </c>
      <c r="V50" s="43">
        <f t="shared" si="5"/>
        <v>7</v>
      </c>
    </row>
    <row r="51" spans="1:23" ht="12.95" customHeight="1" x14ac:dyDescent="0.2">
      <c r="A51" s="43">
        <v>13</v>
      </c>
      <c r="B51" s="69" t="s">
        <v>56</v>
      </c>
      <c r="C51" s="41"/>
      <c r="D51" s="41"/>
      <c r="E51" s="41"/>
      <c r="F51" s="41" t="s">
        <v>99</v>
      </c>
      <c r="G51" s="41"/>
      <c r="H51" s="41"/>
      <c r="I51" s="41" t="s">
        <v>99</v>
      </c>
      <c r="J51" s="41"/>
      <c r="K51" s="41"/>
      <c r="L51" s="41"/>
      <c r="M51" s="41"/>
      <c r="N51" s="41"/>
      <c r="O51" s="41"/>
      <c r="P51" s="42"/>
      <c r="Q51" s="41"/>
      <c r="R51" s="41"/>
      <c r="S51" s="41"/>
      <c r="T51" s="41"/>
      <c r="U51" s="41" t="s">
        <v>99</v>
      </c>
      <c r="V51" s="43">
        <f t="shared" si="5"/>
        <v>3</v>
      </c>
    </row>
    <row r="52" spans="1:23" ht="12.95" customHeight="1" x14ac:dyDescent="0.2">
      <c r="A52" s="43">
        <v>14</v>
      </c>
      <c r="B52" s="69" t="s">
        <v>57</v>
      </c>
      <c r="C52" s="41"/>
      <c r="D52" s="41"/>
      <c r="E52" s="41"/>
      <c r="F52" s="41" t="s">
        <v>99</v>
      </c>
      <c r="G52" s="41"/>
      <c r="H52" s="41"/>
      <c r="I52" s="41" t="s">
        <v>99</v>
      </c>
      <c r="J52" s="41" t="s">
        <v>99</v>
      </c>
      <c r="K52" s="41" t="s">
        <v>99</v>
      </c>
      <c r="L52" s="41"/>
      <c r="M52" s="41" t="s">
        <v>99</v>
      </c>
      <c r="N52" s="41"/>
      <c r="O52" s="41"/>
      <c r="P52" s="42" t="s">
        <v>99</v>
      </c>
      <c r="Q52" s="41"/>
      <c r="R52" s="41"/>
      <c r="S52" s="41"/>
      <c r="T52" s="41" t="s">
        <v>99</v>
      </c>
      <c r="U52" s="41" t="s">
        <v>99</v>
      </c>
      <c r="V52" s="43">
        <f t="shared" si="5"/>
        <v>8</v>
      </c>
    </row>
    <row r="53" spans="1:23" s="5" customFormat="1" ht="12.95" customHeight="1" x14ac:dyDescent="0.2">
      <c r="A53" s="261" t="s">
        <v>60</v>
      </c>
      <c r="B53" s="262"/>
      <c r="C53" s="29">
        <f>COUNTIF(C54:C59, "x")</f>
        <v>0</v>
      </c>
      <c r="D53" s="29">
        <f t="shared" ref="D53:U53" si="6">COUNTIF(D54:D59, "x")</f>
        <v>0</v>
      </c>
      <c r="E53" s="29">
        <f t="shared" si="6"/>
        <v>0</v>
      </c>
      <c r="F53" s="29">
        <f t="shared" si="6"/>
        <v>6</v>
      </c>
      <c r="G53" s="29">
        <f t="shared" si="6"/>
        <v>0</v>
      </c>
      <c r="H53" s="29">
        <f t="shared" si="6"/>
        <v>4</v>
      </c>
      <c r="I53" s="29">
        <f t="shared" si="6"/>
        <v>6</v>
      </c>
      <c r="J53" s="29">
        <f t="shared" si="6"/>
        <v>6</v>
      </c>
      <c r="K53" s="29">
        <f t="shared" si="6"/>
        <v>4</v>
      </c>
      <c r="L53" s="29">
        <f t="shared" si="6"/>
        <v>0</v>
      </c>
      <c r="M53" s="29">
        <f t="shared" si="6"/>
        <v>0</v>
      </c>
      <c r="N53" s="29">
        <f t="shared" si="6"/>
        <v>4</v>
      </c>
      <c r="O53" s="29">
        <f t="shared" si="6"/>
        <v>2</v>
      </c>
      <c r="P53" s="29">
        <f t="shared" si="6"/>
        <v>0</v>
      </c>
      <c r="Q53" s="29">
        <f t="shared" si="6"/>
        <v>0</v>
      </c>
      <c r="R53" s="29">
        <f t="shared" si="6"/>
        <v>5</v>
      </c>
      <c r="S53" s="29">
        <f t="shared" si="6"/>
        <v>0</v>
      </c>
      <c r="T53" s="29">
        <f t="shared" si="6"/>
        <v>3</v>
      </c>
      <c r="U53" s="29">
        <f t="shared" si="6"/>
        <v>6</v>
      </c>
      <c r="V53" s="32">
        <f>SUM(V54:V59)/6</f>
        <v>7.666666666666667</v>
      </c>
    </row>
    <row r="54" spans="1:23" ht="12.95" customHeight="1" x14ac:dyDescent="0.2">
      <c r="A54" s="9">
        <v>1</v>
      </c>
      <c r="B54" s="10" t="s">
        <v>64</v>
      </c>
      <c r="C54" s="63"/>
      <c r="D54" s="63"/>
      <c r="E54" s="63"/>
      <c r="F54" s="63" t="s">
        <v>99</v>
      </c>
      <c r="G54" s="33"/>
      <c r="H54" s="33"/>
      <c r="I54" s="33" t="s">
        <v>99</v>
      </c>
      <c r="J54" s="33" t="s">
        <v>99</v>
      </c>
      <c r="K54" s="33" t="s">
        <v>99</v>
      </c>
      <c r="L54" s="33"/>
      <c r="M54" s="33"/>
      <c r="N54" s="33" t="s">
        <v>99</v>
      </c>
      <c r="O54" s="33" t="s">
        <v>99</v>
      </c>
      <c r="P54" s="33"/>
      <c r="Q54" s="33"/>
      <c r="R54" s="33" t="s">
        <v>99</v>
      </c>
      <c r="S54" s="63"/>
      <c r="T54" s="63"/>
      <c r="U54" s="63" t="s">
        <v>99</v>
      </c>
      <c r="V54" s="9">
        <f t="shared" ref="V54:V59" si="7">COUNTIF(C54:U54,"x")</f>
        <v>8</v>
      </c>
      <c r="W54" s="11"/>
    </row>
    <row r="55" spans="1:23" ht="12.95" customHeight="1" x14ac:dyDescent="0.2">
      <c r="A55" s="6">
        <v>2</v>
      </c>
      <c r="B55" s="7" t="s">
        <v>62</v>
      </c>
      <c r="C55" s="63"/>
      <c r="D55" s="63"/>
      <c r="E55" s="63"/>
      <c r="F55" s="63" t="s">
        <v>99</v>
      </c>
      <c r="G55" s="33"/>
      <c r="H55" s="33" t="s">
        <v>99</v>
      </c>
      <c r="I55" s="33" t="s">
        <v>99</v>
      </c>
      <c r="J55" s="33" t="s">
        <v>99</v>
      </c>
      <c r="K55" s="33"/>
      <c r="L55" s="33"/>
      <c r="M55" s="33"/>
      <c r="N55" s="33"/>
      <c r="O55" s="33"/>
      <c r="P55" s="33"/>
      <c r="Q55" s="33"/>
      <c r="R55" s="33" t="s">
        <v>99</v>
      </c>
      <c r="S55" s="63"/>
      <c r="T55" s="63" t="s">
        <v>99</v>
      </c>
      <c r="U55" s="63" t="s">
        <v>99</v>
      </c>
      <c r="V55" s="6">
        <f t="shared" si="7"/>
        <v>7</v>
      </c>
    </row>
    <row r="56" spans="1:23" s="11" customFormat="1" ht="12.95" customHeight="1" x14ac:dyDescent="0.2">
      <c r="A56" s="73">
        <v>3</v>
      </c>
      <c r="B56" s="69" t="s">
        <v>61</v>
      </c>
      <c r="C56" s="41"/>
      <c r="D56" s="41"/>
      <c r="E56" s="41"/>
      <c r="F56" s="41" t="s">
        <v>99</v>
      </c>
      <c r="G56" s="41"/>
      <c r="H56" s="41"/>
      <c r="I56" s="41" t="s">
        <v>99</v>
      </c>
      <c r="J56" s="41" t="s">
        <v>99</v>
      </c>
      <c r="K56" s="41"/>
      <c r="L56" s="41"/>
      <c r="M56" s="41"/>
      <c r="N56" s="41"/>
      <c r="O56" s="41"/>
      <c r="P56" s="42"/>
      <c r="Q56" s="41"/>
      <c r="R56" s="41" t="s">
        <v>99</v>
      </c>
      <c r="S56" s="41"/>
      <c r="T56" s="41" t="s">
        <v>99</v>
      </c>
      <c r="U56" s="41" t="s">
        <v>99</v>
      </c>
      <c r="V56" s="43">
        <f t="shared" si="7"/>
        <v>6</v>
      </c>
      <c r="W56" s="1"/>
    </row>
    <row r="57" spans="1:23" s="11" customFormat="1" ht="12.95" customHeight="1" x14ac:dyDescent="0.2">
      <c r="A57" s="43">
        <v>4</v>
      </c>
      <c r="B57" s="69" t="s">
        <v>65</v>
      </c>
      <c r="C57" s="41"/>
      <c r="D57" s="41"/>
      <c r="E57" s="41"/>
      <c r="F57" s="41" t="s">
        <v>99</v>
      </c>
      <c r="G57" s="42"/>
      <c r="H57" s="42" t="s">
        <v>99</v>
      </c>
      <c r="I57" s="42" t="s">
        <v>99</v>
      </c>
      <c r="J57" s="42" t="s">
        <v>99</v>
      </c>
      <c r="K57" s="42" t="s">
        <v>99</v>
      </c>
      <c r="L57" s="42"/>
      <c r="M57" s="42"/>
      <c r="N57" s="42" t="s">
        <v>99</v>
      </c>
      <c r="O57" s="42"/>
      <c r="P57" s="42"/>
      <c r="Q57" s="42"/>
      <c r="R57" s="42" t="s">
        <v>99</v>
      </c>
      <c r="S57" s="41"/>
      <c r="T57" s="41"/>
      <c r="U57" s="41" t="s">
        <v>99</v>
      </c>
      <c r="V57" s="43">
        <f t="shared" si="7"/>
        <v>8</v>
      </c>
      <c r="W57" s="1"/>
    </row>
    <row r="58" spans="1:23" ht="12.95" customHeight="1" x14ac:dyDescent="0.2">
      <c r="A58" s="73">
        <v>5</v>
      </c>
      <c r="B58" s="69" t="s">
        <v>66</v>
      </c>
      <c r="C58" s="41"/>
      <c r="D58" s="41"/>
      <c r="E58" s="41"/>
      <c r="F58" s="41" t="s">
        <v>99</v>
      </c>
      <c r="G58" s="41"/>
      <c r="H58" s="41" t="s">
        <v>99</v>
      </c>
      <c r="I58" s="41" t="s">
        <v>99</v>
      </c>
      <c r="J58" s="41" t="s">
        <v>99</v>
      </c>
      <c r="K58" s="41" t="s">
        <v>99</v>
      </c>
      <c r="L58" s="41"/>
      <c r="M58" s="41"/>
      <c r="N58" s="41" t="s">
        <v>99</v>
      </c>
      <c r="O58" s="41"/>
      <c r="P58" s="42"/>
      <c r="Q58" s="41"/>
      <c r="R58" s="41"/>
      <c r="S58" s="41"/>
      <c r="T58" s="41" t="s">
        <v>99</v>
      </c>
      <c r="U58" s="41" t="s">
        <v>99</v>
      </c>
      <c r="V58" s="43">
        <f t="shared" si="7"/>
        <v>8</v>
      </c>
    </row>
    <row r="59" spans="1:23" ht="12.95" customHeight="1" x14ac:dyDescent="0.2">
      <c r="A59" s="43">
        <v>6</v>
      </c>
      <c r="B59" s="72" t="s">
        <v>63</v>
      </c>
      <c r="C59" s="41"/>
      <c r="D59" s="41"/>
      <c r="E59" s="41"/>
      <c r="F59" s="41" t="s">
        <v>99</v>
      </c>
      <c r="G59" s="42"/>
      <c r="H59" s="42" t="s">
        <v>99</v>
      </c>
      <c r="I59" s="42" t="s">
        <v>99</v>
      </c>
      <c r="J59" s="42" t="s">
        <v>99</v>
      </c>
      <c r="K59" s="42" t="s">
        <v>99</v>
      </c>
      <c r="L59" s="42"/>
      <c r="M59" s="42"/>
      <c r="N59" s="42" t="s">
        <v>99</v>
      </c>
      <c r="O59" s="42" t="s">
        <v>99</v>
      </c>
      <c r="P59" s="42"/>
      <c r="Q59" s="42"/>
      <c r="R59" s="42" t="s">
        <v>99</v>
      </c>
      <c r="S59" s="41"/>
      <c r="T59" s="41"/>
      <c r="U59" s="41" t="s">
        <v>99</v>
      </c>
      <c r="V59" s="73">
        <f t="shared" si="7"/>
        <v>9</v>
      </c>
      <c r="W59" s="11"/>
    </row>
    <row r="60" spans="1:23" s="5" customFormat="1" ht="12" customHeight="1" x14ac:dyDescent="0.2">
      <c r="A60" s="261" t="s">
        <v>67</v>
      </c>
      <c r="B60" s="262"/>
      <c r="C60" s="29">
        <f>COUNTIF(C61:C66, "x")</f>
        <v>1</v>
      </c>
      <c r="D60" s="29">
        <f t="shared" ref="D60:U60" si="8">COUNTIF(D61:D66, "x")</f>
        <v>1</v>
      </c>
      <c r="E60" s="29"/>
      <c r="F60" s="29">
        <f t="shared" si="8"/>
        <v>6</v>
      </c>
      <c r="G60" s="29">
        <f t="shared" si="8"/>
        <v>1</v>
      </c>
      <c r="H60" s="29">
        <f t="shared" si="8"/>
        <v>0</v>
      </c>
      <c r="I60" s="29">
        <f t="shared" si="8"/>
        <v>6</v>
      </c>
      <c r="J60" s="29">
        <f t="shared" si="8"/>
        <v>5</v>
      </c>
      <c r="K60" s="29">
        <f t="shared" si="8"/>
        <v>0</v>
      </c>
      <c r="L60" s="29">
        <f t="shared" si="8"/>
        <v>0</v>
      </c>
      <c r="M60" s="29">
        <f t="shared" si="8"/>
        <v>0</v>
      </c>
      <c r="N60" s="29">
        <f t="shared" si="8"/>
        <v>2</v>
      </c>
      <c r="O60" s="29">
        <f t="shared" si="8"/>
        <v>0</v>
      </c>
      <c r="P60" s="29">
        <f t="shared" si="8"/>
        <v>0</v>
      </c>
      <c r="Q60" s="29">
        <f t="shared" si="8"/>
        <v>0</v>
      </c>
      <c r="R60" s="29">
        <f t="shared" si="8"/>
        <v>6</v>
      </c>
      <c r="S60" s="29">
        <f t="shared" si="8"/>
        <v>1</v>
      </c>
      <c r="T60" s="29">
        <f t="shared" si="8"/>
        <v>2</v>
      </c>
      <c r="U60" s="29">
        <f t="shared" si="8"/>
        <v>5</v>
      </c>
      <c r="V60" s="32">
        <f>SUM(V61:V66)/6</f>
        <v>6.166666666666667</v>
      </c>
    </row>
    <row r="61" spans="1:23" ht="12.95" customHeight="1" x14ac:dyDescent="0.2">
      <c r="A61" s="43">
        <v>1</v>
      </c>
      <c r="B61" s="69" t="s">
        <v>71</v>
      </c>
      <c r="C61" s="70"/>
      <c r="D61" s="70"/>
      <c r="E61" s="70"/>
      <c r="F61" s="70" t="s">
        <v>99</v>
      </c>
      <c r="G61" s="70"/>
      <c r="H61" s="42"/>
      <c r="I61" s="42" t="s">
        <v>99</v>
      </c>
      <c r="J61" s="42" t="s">
        <v>99</v>
      </c>
      <c r="K61" s="70"/>
      <c r="L61" s="70"/>
      <c r="M61" s="71"/>
      <c r="N61" s="70" t="s">
        <v>99</v>
      </c>
      <c r="O61" s="70"/>
      <c r="P61" s="42"/>
      <c r="Q61" s="70"/>
      <c r="R61" s="70" t="s">
        <v>99</v>
      </c>
      <c r="S61" s="70"/>
      <c r="T61" s="70"/>
      <c r="U61" s="70"/>
      <c r="V61" s="43">
        <f t="shared" ref="V61:V66" si="9">COUNTIF(C61:U61,"x")</f>
        <v>5</v>
      </c>
    </row>
    <row r="62" spans="1:23" ht="12.95" customHeight="1" x14ac:dyDescent="0.2">
      <c r="A62" s="6">
        <v>2</v>
      </c>
      <c r="B62" s="7" t="s">
        <v>69</v>
      </c>
      <c r="C62" s="34"/>
      <c r="D62" s="34"/>
      <c r="E62" s="34"/>
      <c r="F62" s="34" t="s">
        <v>99</v>
      </c>
      <c r="G62" s="34"/>
      <c r="H62" s="34"/>
      <c r="I62" s="34" t="s">
        <v>99</v>
      </c>
      <c r="J62" s="34" t="s">
        <v>99</v>
      </c>
      <c r="K62" s="34"/>
      <c r="L62" s="34"/>
      <c r="M62" s="35"/>
      <c r="N62" s="34"/>
      <c r="O62" s="34"/>
      <c r="P62" s="33"/>
      <c r="Q62" s="34"/>
      <c r="R62" s="34" t="s">
        <v>99</v>
      </c>
      <c r="S62" s="34"/>
      <c r="T62" s="34" t="s">
        <v>99</v>
      </c>
      <c r="U62" s="34" t="s">
        <v>99</v>
      </c>
      <c r="V62" s="6">
        <f t="shared" si="9"/>
        <v>6</v>
      </c>
    </row>
    <row r="63" spans="1:23" ht="12.95" customHeight="1" x14ac:dyDescent="0.2">
      <c r="A63" s="43">
        <v>3</v>
      </c>
      <c r="B63" s="72" t="s">
        <v>72</v>
      </c>
      <c r="C63" s="70" t="s">
        <v>99</v>
      </c>
      <c r="D63" s="70"/>
      <c r="E63" s="70"/>
      <c r="F63" s="70" t="s">
        <v>99</v>
      </c>
      <c r="G63" s="70"/>
      <c r="H63" s="42"/>
      <c r="I63" s="42" t="s">
        <v>99</v>
      </c>
      <c r="J63" s="42" t="s">
        <v>99</v>
      </c>
      <c r="K63" s="70"/>
      <c r="L63" s="70"/>
      <c r="M63" s="71"/>
      <c r="N63" s="70"/>
      <c r="O63" s="70"/>
      <c r="P63" s="42"/>
      <c r="Q63" s="70"/>
      <c r="R63" s="70" t="s">
        <v>99</v>
      </c>
      <c r="S63" s="70"/>
      <c r="T63" s="70" t="s">
        <v>99</v>
      </c>
      <c r="U63" s="70" t="s">
        <v>99</v>
      </c>
      <c r="V63" s="73">
        <f t="shared" si="9"/>
        <v>7</v>
      </c>
      <c r="W63" s="11"/>
    </row>
    <row r="64" spans="1:23" s="48" customFormat="1" ht="12.95" customHeight="1" x14ac:dyDescent="0.2">
      <c r="A64" s="49">
        <v>4</v>
      </c>
      <c r="B64" s="74" t="s">
        <v>68</v>
      </c>
      <c r="C64" s="70"/>
      <c r="D64" s="70"/>
      <c r="E64" s="70" t="s">
        <v>99</v>
      </c>
      <c r="F64" s="70" t="s">
        <v>99</v>
      </c>
      <c r="G64" s="70" t="s">
        <v>99</v>
      </c>
      <c r="H64" s="70"/>
      <c r="I64" s="70" t="s">
        <v>99</v>
      </c>
      <c r="J64" s="70" t="s">
        <v>99</v>
      </c>
      <c r="K64" s="70"/>
      <c r="L64" s="70"/>
      <c r="M64" s="71"/>
      <c r="N64" s="70" t="s">
        <v>99</v>
      </c>
      <c r="O64" s="70"/>
      <c r="P64" s="70"/>
      <c r="Q64" s="70"/>
      <c r="R64" s="70" t="s">
        <v>99</v>
      </c>
      <c r="S64" s="70" t="s">
        <v>99</v>
      </c>
      <c r="T64" s="70"/>
      <c r="U64" s="70" t="s">
        <v>99</v>
      </c>
      <c r="V64" s="49">
        <f t="shared" si="9"/>
        <v>9</v>
      </c>
    </row>
    <row r="65" spans="1:22" s="48" customFormat="1" ht="12.95" customHeight="1" x14ac:dyDescent="0.2">
      <c r="A65" s="49">
        <v>5</v>
      </c>
      <c r="B65" s="74" t="s">
        <v>70</v>
      </c>
      <c r="C65" s="70"/>
      <c r="D65" s="70" t="s">
        <v>99</v>
      </c>
      <c r="E65" s="70"/>
      <c r="F65" s="70" t="s">
        <v>99</v>
      </c>
      <c r="G65" s="70"/>
      <c r="H65" s="70"/>
      <c r="I65" s="70" t="s">
        <v>99</v>
      </c>
      <c r="J65" s="70"/>
      <c r="K65" s="70"/>
      <c r="L65" s="70"/>
      <c r="M65" s="71"/>
      <c r="N65" s="70"/>
      <c r="O65" s="70"/>
      <c r="P65" s="70"/>
      <c r="Q65" s="70"/>
      <c r="R65" s="70" t="s">
        <v>99</v>
      </c>
      <c r="S65" s="70"/>
      <c r="T65" s="70"/>
      <c r="U65" s="70" t="s">
        <v>99</v>
      </c>
      <c r="V65" s="49">
        <f t="shared" si="9"/>
        <v>5</v>
      </c>
    </row>
    <row r="66" spans="1:22" s="11" customFormat="1" ht="12.95" customHeight="1" x14ac:dyDescent="0.2">
      <c r="A66" s="43">
        <v>6</v>
      </c>
      <c r="B66" s="72" t="s">
        <v>73</v>
      </c>
      <c r="C66" s="70"/>
      <c r="D66" s="70"/>
      <c r="E66" s="70"/>
      <c r="F66" s="70" t="s">
        <v>99</v>
      </c>
      <c r="G66" s="70"/>
      <c r="H66" s="70"/>
      <c r="I66" s="70" t="s">
        <v>99</v>
      </c>
      <c r="J66" s="70" t="s">
        <v>99</v>
      </c>
      <c r="K66" s="70"/>
      <c r="L66" s="70"/>
      <c r="M66" s="71"/>
      <c r="N66" s="70"/>
      <c r="O66" s="70"/>
      <c r="P66" s="42"/>
      <c r="Q66" s="70"/>
      <c r="R66" s="70" t="s">
        <v>99</v>
      </c>
      <c r="S66" s="70"/>
      <c r="T66" s="70"/>
      <c r="U66" s="70" t="s">
        <v>99</v>
      </c>
      <c r="V66" s="73">
        <f t="shared" si="9"/>
        <v>5</v>
      </c>
    </row>
    <row r="67" spans="1:22" s="12" customFormat="1" ht="20.25" customHeight="1" x14ac:dyDescent="0.25">
      <c r="A67" s="261" t="s">
        <v>74</v>
      </c>
      <c r="B67" s="262"/>
      <c r="C67" s="29">
        <f>C6+C27+C38+C53+C60</f>
        <v>2</v>
      </c>
      <c r="D67" s="29">
        <f t="shared" ref="D67:T67" si="10">D6+D27+D38+D53+D60</f>
        <v>1</v>
      </c>
      <c r="E67" s="29">
        <f t="shared" si="10"/>
        <v>7</v>
      </c>
      <c r="F67" s="29">
        <f t="shared" si="10"/>
        <v>56</v>
      </c>
      <c r="G67" s="29">
        <f t="shared" si="10"/>
        <v>13</v>
      </c>
      <c r="H67" s="29">
        <f t="shared" si="10"/>
        <v>18</v>
      </c>
      <c r="I67" s="29">
        <f t="shared" si="10"/>
        <v>49</v>
      </c>
      <c r="J67" s="29">
        <f t="shared" si="10"/>
        <v>40</v>
      </c>
      <c r="K67" s="29">
        <f t="shared" si="10"/>
        <v>29</v>
      </c>
      <c r="L67" s="29">
        <f t="shared" si="10"/>
        <v>0</v>
      </c>
      <c r="M67" s="29">
        <f t="shared" si="10"/>
        <v>3</v>
      </c>
      <c r="N67" s="29">
        <f t="shared" si="10"/>
        <v>18</v>
      </c>
      <c r="O67" s="29">
        <f t="shared" si="10"/>
        <v>21</v>
      </c>
      <c r="P67" s="29">
        <f t="shared" si="10"/>
        <v>9</v>
      </c>
      <c r="Q67" s="29">
        <f t="shared" si="10"/>
        <v>2</v>
      </c>
      <c r="R67" s="29">
        <f t="shared" si="10"/>
        <v>47</v>
      </c>
      <c r="S67" s="29">
        <f t="shared" si="10"/>
        <v>9</v>
      </c>
      <c r="T67" s="29">
        <f t="shared" si="10"/>
        <v>20</v>
      </c>
      <c r="U67" s="29">
        <f>U6+U27+U38+U53+U60</f>
        <v>50</v>
      </c>
      <c r="V67" s="53">
        <f>(SUM(V61:V66)+SUM(V54:V59)+SUM(V39:V52)+SUM(V28:V37)+SUM(V7:V26))/56</f>
        <v>7.0535714285714288</v>
      </c>
    </row>
    <row r="68" spans="1:22" ht="16.5" customHeight="1" x14ac:dyDescent="0.2">
      <c r="A68" s="263" t="s">
        <v>75</v>
      </c>
      <c r="B68" s="264"/>
      <c r="C68" s="16">
        <f>100*C67/56</f>
        <v>3.5714285714285716</v>
      </c>
      <c r="D68" s="17">
        <f t="shared" ref="D68:U68" si="11">100*D67/56</f>
        <v>1.7857142857142858</v>
      </c>
      <c r="E68" s="16">
        <f t="shared" si="11"/>
        <v>12.5</v>
      </c>
      <c r="F68" s="16">
        <f t="shared" si="11"/>
        <v>100</v>
      </c>
      <c r="G68" s="16">
        <f t="shared" si="11"/>
        <v>23.214285714285715</v>
      </c>
      <c r="H68" s="16">
        <f t="shared" si="11"/>
        <v>32.142857142857146</v>
      </c>
      <c r="I68" s="16">
        <f t="shared" si="11"/>
        <v>87.5</v>
      </c>
      <c r="J68" s="16">
        <f t="shared" si="11"/>
        <v>71.428571428571431</v>
      </c>
      <c r="K68" s="16">
        <f t="shared" si="11"/>
        <v>51.785714285714285</v>
      </c>
      <c r="L68" s="16">
        <f t="shared" si="11"/>
        <v>0</v>
      </c>
      <c r="M68" s="16">
        <f t="shared" si="11"/>
        <v>5.3571428571428568</v>
      </c>
      <c r="N68" s="16">
        <f t="shared" si="11"/>
        <v>32.142857142857146</v>
      </c>
      <c r="O68" s="16">
        <f t="shared" si="11"/>
        <v>37.5</v>
      </c>
      <c r="P68" s="16">
        <f t="shared" si="11"/>
        <v>16.071428571428573</v>
      </c>
      <c r="Q68" s="16">
        <f>100*Q67/56</f>
        <v>3.5714285714285716</v>
      </c>
      <c r="R68" s="16">
        <f t="shared" si="11"/>
        <v>83.928571428571431</v>
      </c>
      <c r="S68" s="16">
        <f t="shared" si="11"/>
        <v>16.071428571428573</v>
      </c>
      <c r="T68" s="16">
        <f t="shared" si="11"/>
        <v>35.714285714285715</v>
      </c>
      <c r="U68" s="16">
        <f t="shared" si="11"/>
        <v>89.285714285714292</v>
      </c>
      <c r="V68" s="16"/>
    </row>
    <row r="69" spans="1:22" ht="15" customHeight="1" x14ac:dyDescent="0.2">
      <c r="A69" s="265" t="s">
        <v>129</v>
      </c>
      <c r="B69" s="266"/>
      <c r="C69" s="266"/>
      <c r="D69" s="266"/>
      <c r="E69" s="266"/>
      <c r="F69" s="266"/>
      <c r="G69" s="266"/>
      <c r="H69" s="266"/>
      <c r="I69" s="266"/>
      <c r="J69" s="266"/>
      <c r="K69" s="266"/>
      <c r="L69" s="266"/>
      <c r="M69" s="266"/>
      <c r="N69" s="266"/>
      <c r="O69" s="266"/>
      <c r="P69" s="266"/>
      <c r="Q69" s="266"/>
      <c r="R69" s="266"/>
      <c r="S69" s="266"/>
      <c r="T69" s="266"/>
      <c r="U69" s="266"/>
      <c r="V69" s="267"/>
    </row>
    <row r="70" spans="1:22" ht="18" customHeight="1" x14ac:dyDescent="0.3">
      <c r="K70" s="13"/>
      <c r="L70" s="13"/>
      <c r="M70" s="13"/>
      <c r="N70" s="13"/>
      <c r="O70" s="13"/>
      <c r="P70" s="26"/>
      <c r="Q70" s="13"/>
      <c r="R70" s="13"/>
      <c r="S70" s="13"/>
      <c r="T70" s="13"/>
      <c r="U70" s="13"/>
      <c r="V70" s="14"/>
    </row>
    <row r="71" spans="1:22" ht="22.5" customHeight="1" x14ac:dyDescent="0.2">
      <c r="C71" s="268" t="s">
        <v>76</v>
      </c>
      <c r="D71" s="268" t="s">
        <v>77</v>
      </c>
      <c r="E71" s="268"/>
      <c r="F71" s="268"/>
      <c r="G71" s="268"/>
      <c r="H71" s="268" t="s">
        <v>78</v>
      </c>
      <c r="I71" s="268"/>
      <c r="K71" s="269"/>
      <c r="L71" s="268" t="s">
        <v>76</v>
      </c>
      <c r="M71" s="268" t="s">
        <v>77</v>
      </c>
      <c r="N71" s="268"/>
      <c r="O71" s="268"/>
      <c r="P71" s="268" t="s">
        <v>78</v>
      </c>
      <c r="Q71" s="268"/>
      <c r="R71" s="50"/>
    </row>
    <row r="72" spans="1:22" ht="36.75" customHeight="1" x14ac:dyDescent="0.2">
      <c r="C72" s="268"/>
      <c r="D72" s="268"/>
      <c r="E72" s="268"/>
      <c r="F72" s="268"/>
      <c r="G72" s="268"/>
      <c r="H72" s="19" t="s">
        <v>79</v>
      </c>
      <c r="I72" s="19" t="s">
        <v>80</v>
      </c>
      <c r="K72" s="269"/>
      <c r="L72" s="268"/>
      <c r="M72" s="268"/>
      <c r="N72" s="268"/>
      <c r="O72" s="268"/>
      <c r="P72" s="19" t="s">
        <v>79</v>
      </c>
      <c r="Q72" s="19" t="s">
        <v>80</v>
      </c>
      <c r="R72" s="50"/>
    </row>
    <row r="73" spans="1:22" ht="15.75" x14ac:dyDescent="0.2">
      <c r="C73" s="54">
        <v>1</v>
      </c>
      <c r="D73" s="273" t="s">
        <v>130</v>
      </c>
      <c r="E73" s="274"/>
      <c r="F73" s="274"/>
      <c r="G73" s="275"/>
      <c r="H73" s="19">
        <f>COUNTIF($V$28:$V$37,1)+COUNTIF($V$39:$V$52,1)+COUNTIF($V$7:$V$26,1)+COUNTIF($V$54:$V$59,1)+COUNTIF($V$61:$V$66,1)</f>
        <v>0</v>
      </c>
      <c r="I73" s="20">
        <f t="shared" ref="I73:I91" si="12">H73/$H$92*100</f>
        <v>0</v>
      </c>
      <c r="J73" s="50"/>
      <c r="K73" s="57"/>
      <c r="L73" s="8">
        <v>1</v>
      </c>
      <c r="M73" s="273" t="s">
        <v>109</v>
      </c>
      <c r="N73" s="274"/>
      <c r="O73" s="275"/>
      <c r="P73" s="21">
        <f>C67</f>
        <v>2</v>
      </c>
      <c r="Q73" s="20">
        <f t="shared" ref="Q73:Q91" si="13">P73/$H$92*100</f>
        <v>3.5714285714285712</v>
      </c>
      <c r="R73" s="50"/>
      <c r="S73" s="50"/>
      <c r="T73" s="50"/>
    </row>
    <row r="74" spans="1:22" ht="15.75" x14ac:dyDescent="0.2">
      <c r="C74" s="54">
        <v>2</v>
      </c>
      <c r="D74" s="273" t="s">
        <v>128</v>
      </c>
      <c r="E74" s="274"/>
      <c r="F74" s="274"/>
      <c r="G74" s="275"/>
      <c r="H74" s="8">
        <f>COUNTIF($V$28:$V$37,2)+COUNTIF($V$39:$V$52,2)+COUNTIF($V$7:$V$26,2)+COUNTIF($V$54:$V$59,2)+COUNTIF($V$61:$V$66,2)</f>
        <v>0</v>
      </c>
      <c r="I74" s="20">
        <f t="shared" si="12"/>
        <v>0</v>
      </c>
      <c r="J74" s="50"/>
      <c r="K74" s="57"/>
      <c r="L74" s="8">
        <v>2</v>
      </c>
      <c r="M74" s="273" t="s">
        <v>110</v>
      </c>
      <c r="N74" s="274"/>
      <c r="O74" s="275"/>
      <c r="P74" s="21">
        <f>D67</f>
        <v>1</v>
      </c>
      <c r="Q74" s="20">
        <f t="shared" si="13"/>
        <v>1.7857142857142856</v>
      </c>
      <c r="R74" s="50"/>
      <c r="S74" s="50"/>
      <c r="T74" s="50"/>
    </row>
    <row r="75" spans="1:22" s="22" customFormat="1" ht="18" customHeight="1" x14ac:dyDescent="0.2">
      <c r="C75" s="54">
        <v>3</v>
      </c>
      <c r="D75" s="273" t="s">
        <v>81</v>
      </c>
      <c r="E75" s="274"/>
      <c r="F75" s="274"/>
      <c r="G75" s="275"/>
      <c r="H75" s="8">
        <f>COUNTIF($V$28:$V$37,3)+COUNTIF($V$39:$V$52,3)+COUNTIF($V$7:$V$26,3)+COUNTIF($V$54:$V$59,3)+COUNTIF($V$61:$V$66,3)</f>
        <v>2</v>
      </c>
      <c r="I75" s="20">
        <f t="shared" si="12"/>
        <v>3.5714285714285712</v>
      </c>
      <c r="J75" s="51"/>
      <c r="K75" s="57"/>
      <c r="L75" s="8">
        <v>3</v>
      </c>
      <c r="M75" s="273" t="s">
        <v>111</v>
      </c>
      <c r="N75" s="274"/>
      <c r="O75" s="275"/>
      <c r="P75" s="21">
        <f>E67</f>
        <v>7</v>
      </c>
      <c r="Q75" s="20">
        <f t="shared" si="13"/>
        <v>12.5</v>
      </c>
      <c r="R75" s="51"/>
      <c r="S75" s="51"/>
      <c r="T75" s="58"/>
    </row>
    <row r="76" spans="1:22" s="22" customFormat="1" ht="18" customHeight="1" x14ac:dyDescent="0.2">
      <c r="C76" s="54">
        <v>4</v>
      </c>
      <c r="D76" s="273" t="s">
        <v>82</v>
      </c>
      <c r="E76" s="274"/>
      <c r="F76" s="274"/>
      <c r="G76" s="275"/>
      <c r="H76" s="8">
        <f>COUNTIF($V$28:$V$37,4)+COUNTIF($V$39:$V$52,4)+COUNTIF($V$7:$V$26,4)+COUNTIF($V$54:$V$59,4)+COUNTIF($V$61:$V$66,4)</f>
        <v>2</v>
      </c>
      <c r="I76" s="20">
        <f t="shared" si="12"/>
        <v>3.5714285714285712</v>
      </c>
      <c r="J76" s="51"/>
      <c r="K76" s="57"/>
      <c r="L76" s="8">
        <v>4</v>
      </c>
      <c r="M76" s="273" t="s">
        <v>112</v>
      </c>
      <c r="N76" s="274"/>
      <c r="O76" s="275"/>
      <c r="P76" s="21">
        <f>F67</f>
        <v>56</v>
      </c>
      <c r="Q76" s="20">
        <f t="shared" si="13"/>
        <v>100</v>
      </c>
      <c r="R76" s="51"/>
      <c r="S76" s="51"/>
      <c r="T76" s="58"/>
    </row>
    <row r="77" spans="1:22" s="22" customFormat="1" ht="18" customHeight="1" x14ac:dyDescent="0.2">
      <c r="C77" s="54">
        <v>5</v>
      </c>
      <c r="D77" s="273" t="s">
        <v>83</v>
      </c>
      <c r="E77" s="274"/>
      <c r="F77" s="274"/>
      <c r="G77" s="275"/>
      <c r="H77" s="8">
        <f>COUNTIF($V$28:$V$37,5)+COUNTIF($V$39:$V$52,5)+COUNTIF($V$7:$V$26,5)+COUNTIF($V$54:$V$59,5)+COUNTIF($V$61:$V$66,5)</f>
        <v>5</v>
      </c>
      <c r="I77" s="20">
        <f t="shared" si="12"/>
        <v>8.9285714285714288</v>
      </c>
      <c r="J77" s="59">
        <f>SUM(H77:H81)</f>
        <v>48</v>
      </c>
      <c r="K77" s="57"/>
      <c r="L77" s="8">
        <v>5</v>
      </c>
      <c r="M77" s="273" t="s">
        <v>113</v>
      </c>
      <c r="N77" s="274"/>
      <c r="O77" s="275"/>
      <c r="P77" s="21">
        <f>G67</f>
        <v>13</v>
      </c>
      <c r="Q77" s="20">
        <f t="shared" si="13"/>
        <v>23.214285714285715</v>
      </c>
      <c r="R77" s="51"/>
      <c r="S77" s="51"/>
      <c r="T77" s="58"/>
    </row>
    <row r="78" spans="1:22" s="22" customFormat="1" ht="18" customHeight="1" x14ac:dyDescent="0.2">
      <c r="C78" s="54">
        <v>6</v>
      </c>
      <c r="D78" s="273" t="s">
        <v>84</v>
      </c>
      <c r="E78" s="274"/>
      <c r="F78" s="274"/>
      <c r="G78" s="275"/>
      <c r="H78" s="8">
        <f>COUNTIF($V$28:$V$37,6)+COUNTIF($V$39:$V$52,6)+COUNTIF($V$7:$V$26,6)+COUNTIF($V$54:$V$59,6)+COUNTIF($V$61:$V$66,6)</f>
        <v>16</v>
      </c>
      <c r="I78" s="20">
        <f t="shared" si="12"/>
        <v>28.571428571428569</v>
      </c>
      <c r="J78" s="59"/>
      <c r="K78" s="57"/>
      <c r="L78" s="8">
        <v>6</v>
      </c>
      <c r="M78" s="273" t="s">
        <v>114</v>
      </c>
      <c r="N78" s="274"/>
      <c r="O78" s="275"/>
      <c r="P78" s="21">
        <f>H67</f>
        <v>18</v>
      </c>
      <c r="Q78" s="20">
        <f t="shared" si="13"/>
        <v>32.142857142857146</v>
      </c>
      <c r="R78" s="51"/>
      <c r="S78" s="51"/>
      <c r="T78" s="58"/>
    </row>
    <row r="79" spans="1:22" s="22" customFormat="1" ht="18" customHeight="1" x14ac:dyDescent="0.2">
      <c r="C79" s="54">
        <v>7</v>
      </c>
      <c r="D79" s="273" t="s">
        <v>85</v>
      </c>
      <c r="E79" s="274"/>
      <c r="F79" s="274"/>
      <c r="G79" s="275"/>
      <c r="H79" s="8">
        <f>COUNTIF($V$28:$V$37,7)+COUNTIF($V$39:$V$52,7)+COUNTIF($V$7:$V$26,7)+COUNTIF($V$54:$V$59,7)+COUNTIF($V$61:$V$66,7)</f>
        <v>9</v>
      </c>
      <c r="I79" s="20">
        <f t="shared" si="12"/>
        <v>16.071428571428573</v>
      </c>
      <c r="J79" s="59"/>
      <c r="K79" s="57"/>
      <c r="L79" s="8">
        <v>7</v>
      </c>
      <c r="M79" s="273" t="s">
        <v>115</v>
      </c>
      <c r="N79" s="274"/>
      <c r="O79" s="275"/>
      <c r="P79" s="21">
        <f>I67</f>
        <v>49</v>
      </c>
      <c r="Q79" s="20">
        <f t="shared" si="13"/>
        <v>87.5</v>
      </c>
      <c r="R79" s="51"/>
      <c r="S79" s="51"/>
      <c r="T79" s="58"/>
    </row>
    <row r="80" spans="1:22" s="22" customFormat="1" ht="18" customHeight="1" x14ac:dyDescent="0.2">
      <c r="C80" s="54">
        <v>8</v>
      </c>
      <c r="D80" s="273" t="s">
        <v>86</v>
      </c>
      <c r="E80" s="274"/>
      <c r="F80" s="274"/>
      <c r="G80" s="275"/>
      <c r="H80" s="8">
        <f>COUNTIF($V$28:$V$37,8)+COUNTIF($V$39:$V$52,8)+COUNTIF($V$7:$V$26,8)+COUNTIF($V$54:$V$59,8)+COUNTIF($V$61:$V$66,8)</f>
        <v>9</v>
      </c>
      <c r="I80" s="20">
        <f t="shared" si="12"/>
        <v>16.071428571428573</v>
      </c>
      <c r="J80" s="59"/>
      <c r="K80" s="57"/>
      <c r="L80" s="8">
        <v>8</v>
      </c>
      <c r="M80" s="273" t="s">
        <v>116</v>
      </c>
      <c r="N80" s="274"/>
      <c r="O80" s="275"/>
      <c r="P80" s="21">
        <f>J67</f>
        <v>40</v>
      </c>
      <c r="Q80" s="20">
        <f t="shared" si="13"/>
        <v>71.428571428571431</v>
      </c>
      <c r="R80" s="51"/>
      <c r="S80" s="51"/>
      <c r="T80" s="58"/>
    </row>
    <row r="81" spans="3:20" s="22" customFormat="1" ht="18" customHeight="1" x14ac:dyDescent="0.2">
      <c r="C81" s="54">
        <v>9</v>
      </c>
      <c r="D81" s="273" t="s">
        <v>87</v>
      </c>
      <c r="E81" s="274"/>
      <c r="F81" s="274"/>
      <c r="G81" s="275"/>
      <c r="H81" s="8">
        <f>COUNTIF($V$28:$V$37,9)+COUNTIF($V$39:$V$52,9)+COUNTIF($V$7:$V$26,9)+COUNTIF($V$54:$V$59,9)+COUNTIF($V$61:$V$66,9)</f>
        <v>9</v>
      </c>
      <c r="I81" s="20">
        <f t="shared" si="12"/>
        <v>16.071428571428573</v>
      </c>
      <c r="J81" s="51"/>
      <c r="K81" s="57"/>
      <c r="L81" s="8">
        <v>9</v>
      </c>
      <c r="M81" s="273" t="s">
        <v>117</v>
      </c>
      <c r="N81" s="274"/>
      <c r="O81" s="275"/>
      <c r="P81" s="21">
        <f>K67</f>
        <v>29</v>
      </c>
      <c r="Q81" s="20">
        <f t="shared" si="13"/>
        <v>51.785714285714292</v>
      </c>
      <c r="R81" s="51"/>
      <c r="S81" s="51"/>
      <c r="T81" s="58"/>
    </row>
    <row r="82" spans="3:20" s="22" customFormat="1" ht="18" customHeight="1" x14ac:dyDescent="0.2">
      <c r="C82" s="54">
        <v>10</v>
      </c>
      <c r="D82" s="273" t="s">
        <v>88</v>
      </c>
      <c r="E82" s="274"/>
      <c r="F82" s="274"/>
      <c r="G82" s="275"/>
      <c r="H82" s="8">
        <f>COUNTIF($V$28:$V$37,10)+COUNTIF($V$39:$V$52,10)+COUNTIF($V$7:$V$26,10)+COUNTIF($V$54:$V$59,10)+COUNTIF($V$61:$V$66,10)</f>
        <v>1</v>
      </c>
      <c r="I82" s="20">
        <f t="shared" si="12"/>
        <v>1.7857142857142856</v>
      </c>
      <c r="J82" s="51"/>
      <c r="K82" s="57"/>
      <c r="L82" s="8">
        <v>10</v>
      </c>
      <c r="M82" s="273" t="s">
        <v>118</v>
      </c>
      <c r="N82" s="274"/>
      <c r="O82" s="275"/>
      <c r="P82" s="21">
        <f>L67</f>
        <v>0</v>
      </c>
      <c r="Q82" s="20">
        <f t="shared" si="13"/>
        <v>0</v>
      </c>
      <c r="R82" s="51"/>
      <c r="S82" s="51"/>
      <c r="T82" s="58"/>
    </row>
    <row r="83" spans="3:20" s="22" customFormat="1" ht="18" customHeight="1" x14ac:dyDescent="0.2">
      <c r="C83" s="54">
        <v>11</v>
      </c>
      <c r="D83" s="273" t="s">
        <v>89</v>
      </c>
      <c r="E83" s="274"/>
      <c r="F83" s="274"/>
      <c r="G83" s="275"/>
      <c r="H83" s="8">
        <f>COUNTIF($V$28:$V$37,11)+COUNTIF($V$39:$V$52,11)+COUNTIF($V$7:$V$26,11)+COUNTIF($V$54:$V$59,11)+COUNTIF($V$61:$V$66,11)</f>
        <v>2</v>
      </c>
      <c r="I83" s="20">
        <f t="shared" si="12"/>
        <v>3.5714285714285712</v>
      </c>
      <c r="J83" s="51"/>
      <c r="K83" s="57"/>
      <c r="L83" s="8">
        <v>11</v>
      </c>
      <c r="M83" s="273" t="s">
        <v>119</v>
      </c>
      <c r="N83" s="274"/>
      <c r="O83" s="275"/>
      <c r="P83" s="21">
        <f>M67</f>
        <v>3</v>
      </c>
      <c r="Q83" s="20">
        <f t="shared" si="13"/>
        <v>5.3571428571428568</v>
      </c>
      <c r="R83" s="51"/>
      <c r="S83" s="51"/>
      <c r="T83" s="58"/>
    </row>
    <row r="84" spans="3:20" s="22" customFormat="1" ht="18" customHeight="1" x14ac:dyDescent="0.2">
      <c r="C84" s="54">
        <v>12</v>
      </c>
      <c r="D84" s="273" t="s">
        <v>90</v>
      </c>
      <c r="E84" s="274"/>
      <c r="F84" s="274"/>
      <c r="G84" s="275"/>
      <c r="H84" s="8">
        <f>COUNTIF($V$28:$V$37,12)+COUNTIF($V$39:$V$52,12)+COUNTIF($V$7:$V$26,12)+COUNTIF($V$54:$V$59,12)+COUNTIF($V$61:$V$66,12)</f>
        <v>1</v>
      </c>
      <c r="I84" s="20">
        <f t="shared" si="12"/>
        <v>1.7857142857142856</v>
      </c>
      <c r="J84" s="51"/>
      <c r="K84" s="57"/>
      <c r="L84" s="8">
        <v>12</v>
      </c>
      <c r="M84" s="273" t="s">
        <v>120</v>
      </c>
      <c r="N84" s="274"/>
      <c r="O84" s="275"/>
      <c r="P84" s="21">
        <f>N67</f>
        <v>18</v>
      </c>
      <c r="Q84" s="20">
        <f t="shared" si="13"/>
        <v>32.142857142857146</v>
      </c>
      <c r="R84" s="51"/>
      <c r="S84" s="51"/>
      <c r="T84" s="58"/>
    </row>
    <row r="85" spans="3:20" s="22" customFormat="1" ht="18" customHeight="1" x14ac:dyDescent="0.2">
      <c r="C85" s="54">
        <v>13</v>
      </c>
      <c r="D85" s="273" t="s">
        <v>91</v>
      </c>
      <c r="E85" s="274"/>
      <c r="F85" s="274"/>
      <c r="G85" s="275"/>
      <c r="H85" s="8">
        <f>COUNTIF($V$28:$V$37,13)+COUNTIF($V$39:$V$52,13)+COUNTIF($V$7:$V$26,13)+COUNTIF($V$54:$V$59,13)+COUNTIF($V$61:$V$66,13)</f>
        <v>0</v>
      </c>
      <c r="I85" s="20">
        <f t="shared" si="12"/>
        <v>0</v>
      </c>
      <c r="J85" s="51"/>
      <c r="K85" s="57"/>
      <c r="L85" s="8">
        <v>13</v>
      </c>
      <c r="M85" s="273" t="s">
        <v>121</v>
      </c>
      <c r="N85" s="274"/>
      <c r="O85" s="275"/>
      <c r="P85" s="21">
        <f>O67</f>
        <v>21</v>
      </c>
      <c r="Q85" s="20">
        <f t="shared" si="13"/>
        <v>37.5</v>
      </c>
      <c r="R85" s="51"/>
      <c r="S85" s="51"/>
      <c r="T85" s="58"/>
    </row>
    <row r="86" spans="3:20" s="22" customFormat="1" ht="18" customHeight="1" x14ac:dyDescent="0.2">
      <c r="C86" s="54">
        <v>14</v>
      </c>
      <c r="D86" s="273" t="s">
        <v>92</v>
      </c>
      <c r="E86" s="274"/>
      <c r="F86" s="274"/>
      <c r="G86" s="275"/>
      <c r="H86" s="8">
        <f>COUNTIF($V$28:$V$37,14)+COUNTIF($V$39:$V$52,14)+COUNTIF($V$7:$V$26,14)+COUNTIF($V$54:$V$59,14)+COUNTIF($V$61:$V$66,14)</f>
        <v>0</v>
      </c>
      <c r="I86" s="20">
        <f t="shared" si="12"/>
        <v>0</v>
      </c>
      <c r="J86" s="51"/>
      <c r="K86" s="57"/>
      <c r="L86" s="8">
        <v>14</v>
      </c>
      <c r="M86" s="273" t="s">
        <v>122</v>
      </c>
      <c r="N86" s="274"/>
      <c r="O86" s="275"/>
      <c r="P86" s="21">
        <f>P67</f>
        <v>9</v>
      </c>
      <c r="Q86" s="20">
        <f t="shared" si="13"/>
        <v>16.071428571428573</v>
      </c>
      <c r="R86" s="51"/>
      <c r="S86" s="51"/>
      <c r="T86" s="58"/>
    </row>
    <row r="87" spans="3:20" s="22" customFormat="1" ht="18" customHeight="1" x14ac:dyDescent="0.2">
      <c r="C87" s="54">
        <v>15</v>
      </c>
      <c r="D87" s="273" t="s">
        <v>93</v>
      </c>
      <c r="E87" s="274"/>
      <c r="F87" s="274"/>
      <c r="G87" s="275"/>
      <c r="H87" s="8">
        <f>COUNTIF($V$28:$V$37,15)+COUNTIF($V$39:$V$52,15)+COUNTIF($V$7:$V$26,15)+COUNTIF($V$54:$V$59,15)+COUNTIF($V$61:$V$66,15)</f>
        <v>0</v>
      </c>
      <c r="I87" s="20">
        <f t="shared" si="12"/>
        <v>0</v>
      </c>
      <c r="J87" s="51"/>
      <c r="K87" s="57"/>
      <c r="L87" s="8">
        <v>15</v>
      </c>
      <c r="M87" s="273" t="s">
        <v>123</v>
      </c>
      <c r="N87" s="274"/>
      <c r="O87" s="275"/>
      <c r="P87" s="21">
        <f>Q67</f>
        <v>2</v>
      </c>
      <c r="Q87" s="20">
        <f t="shared" si="13"/>
        <v>3.5714285714285712</v>
      </c>
      <c r="R87" s="51"/>
      <c r="S87" s="51"/>
      <c r="T87" s="58"/>
    </row>
    <row r="88" spans="3:20" s="22" customFormat="1" ht="18" customHeight="1" x14ac:dyDescent="0.2">
      <c r="C88" s="54">
        <v>16</v>
      </c>
      <c r="D88" s="273" t="s">
        <v>94</v>
      </c>
      <c r="E88" s="274"/>
      <c r="F88" s="274"/>
      <c r="G88" s="275"/>
      <c r="H88" s="8">
        <f>COUNTIF($V$28:$V$37,16)+COUNTIF($V$39:$V$52,16)+COUNTIF($V$7:$V$26,16)+COUNTIF($V$54:$V$59,16)+COUNTIF($V$61:$V$66,16)</f>
        <v>0</v>
      </c>
      <c r="I88" s="20">
        <f t="shared" si="12"/>
        <v>0</v>
      </c>
      <c r="J88" s="51"/>
      <c r="K88" s="57"/>
      <c r="L88" s="8">
        <v>16</v>
      </c>
      <c r="M88" s="273" t="s">
        <v>124</v>
      </c>
      <c r="N88" s="274"/>
      <c r="O88" s="275"/>
      <c r="P88" s="21">
        <f>R67</f>
        <v>47</v>
      </c>
      <c r="Q88" s="20">
        <f t="shared" si="13"/>
        <v>83.928571428571431</v>
      </c>
      <c r="R88" s="51"/>
      <c r="S88" s="51"/>
      <c r="T88" s="58"/>
    </row>
    <row r="89" spans="3:20" s="22" customFormat="1" ht="18" customHeight="1" x14ac:dyDescent="0.2">
      <c r="C89" s="54">
        <v>17</v>
      </c>
      <c r="D89" s="273" t="s">
        <v>95</v>
      </c>
      <c r="E89" s="274"/>
      <c r="F89" s="274"/>
      <c r="G89" s="275"/>
      <c r="H89" s="8">
        <f>COUNTIF($V$28:$V$37,17)+COUNTIF($V$39:$V$52,17)+COUNTIF($V$7:$V$26,17)+COUNTIF($V$54:$V$59,17)+COUNTIF($V$61:$V$66,17)</f>
        <v>0</v>
      </c>
      <c r="I89" s="20">
        <f t="shared" si="12"/>
        <v>0</v>
      </c>
      <c r="J89" s="51"/>
      <c r="K89" s="57"/>
      <c r="L89" s="8">
        <v>17</v>
      </c>
      <c r="M89" s="273" t="s">
        <v>125</v>
      </c>
      <c r="N89" s="274"/>
      <c r="O89" s="275"/>
      <c r="P89" s="21">
        <f>S67</f>
        <v>9</v>
      </c>
      <c r="Q89" s="20">
        <f t="shared" si="13"/>
        <v>16.071428571428573</v>
      </c>
      <c r="R89" s="51"/>
      <c r="S89" s="51"/>
      <c r="T89" s="58"/>
    </row>
    <row r="90" spans="3:20" s="22" customFormat="1" ht="18" customHeight="1" x14ac:dyDescent="0.2">
      <c r="C90" s="54">
        <v>18</v>
      </c>
      <c r="D90" s="273" t="s">
        <v>96</v>
      </c>
      <c r="E90" s="274"/>
      <c r="F90" s="274"/>
      <c r="G90" s="275"/>
      <c r="H90" s="8">
        <f>COUNTIF($V$28:$V$37,18)+COUNTIF($V$39:$V$52,18)+COUNTIF($V$7:$V$26,18)+COUNTIF($V$54:$V$59,18)+COUNTIF($V$61:$V$66,18)</f>
        <v>0</v>
      </c>
      <c r="I90" s="20">
        <f t="shared" si="12"/>
        <v>0</v>
      </c>
      <c r="J90" s="51"/>
      <c r="K90" s="57"/>
      <c r="L90" s="8">
        <v>18</v>
      </c>
      <c r="M90" s="273" t="s">
        <v>126</v>
      </c>
      <c r="N90" s="274"/>
      <c r="O90" s="275"/>
      <c r="P90" s="8">
        <f>T67</f>
        <v>20</v>
      </c>
      <c r="Q90" s="20">
        <f t="shared" si="13"/>
        <v>35.714285714285715</v>
      </c>
      <c r="R90" s="51"/>
      <c r="S90" s="51"/>
      <c r="T90" s="58"/>
    </row>
    <row r="91" spans="3:20" s="22" customFormat="1" ht="18" customHeight="1" x14ac:dyDescent="0.2">
      <c r="C91" s="54">
        <v>19</v>
      </c>
      <c r="D91" s="273" t="s">
        <v>97</v>
      </c>
      <c r="E91" s="274"/>
      <c r="F91" s="274"/>
      <c r="G91" s="275"/>
      <c r="H91" s="8">
        <f>COUNTIF($V$28:$V$37,19)+COUNTIF($V$39:$V$52,19)+COUNTIF($V$7:$V$26,19)+COUNTIF($V$54:$V$59,19)+COUNTIF($V$61:$V$66,19)</f>
        <v>0</v>
      </c>
      <c r="I91" s="20">
        <f t="shared" si="12"/>
        <v>0</v>
      </c>
      <c r="J91" s="51"/>
      <c r="K91" s="57"/>
      <c r="L91" s="8">
        <v>19</v>
      </c>
      <c r="M91" s="273" t="s">
        <v>127</v>
      </c>
      <c r="N91" s="274"/>
      <c r="O91" s="275"/>
      <c r="P91" s="8">
        <f>U67</f>
        <v>50</v>
      </c>
      <c r="Q91" s="20">
        <f t="shared" si="13"/>
        <v>89.285714285714292</v>
      </c>
      <c r="R91" s="51"/>
      <c r="S91" s="51"/>
      <c r="T91" s="58"/>
    </row>
    <row r="92" spans="3:20" s="22" customFormat="1" ht="18" customHeight="1" x14ac:dyDescent="0.2">
      <c r="C92" s="276" t="s">
        <v>98</v>
      </c>
      <c r="D92" s="277"/>
      <c r="E92" s="277"/>
      <c r="F92" s="277"/>
      <c r="G92" s="278"/>
      <c r="H92" s="62">
        <f>SUM(H74:H91)</f>
        <v>56</v>
      </c>
      <c r="I92" s="55">
        <v>100</v>
      </c>
      <c r="J92" s="51"/>
      <c r="L92" s="64"/>
      <c r="M92" s="64"/>
      <c r="N92" s="64"/>
      <c r="O92" s="64"/>
      <c r="P92" s="44">
        <v>55</v>
      </c>
      <c r="Q92" s="45">
        <f t="shared" ref="Q92" si="14">P92/$H$92*100</f>
        <v>98.214285714285708</v>
      </c>
      <c r="R92" s="51"/>
      <c r="S92" s="51"/>
      <c r="T92" s="58"/>
    </row>
    <row r="93" spans="3:20" ht="18" customHeight="1" x14ac:dyDescent="0.2">
      <c r="J93" s="50"/>
      <c r="K93" s="57">
        <v>19</v>
      </c>
      <c r="L93" s="56"/>
      <c r="M93" s="50"/>
      <c r="N93" s="50"/>
      <c r="O93" s="50"/>
      <c r="P93" s="50"/>
      <c r="Q93" s="50"/>
      <c r="R93" s="50"/>
      <c r="S93" s="50"/>
      <c r="T93" s="60"/>
    </row>
    <row r="94" spans="3:20" x14ac:dyDescent="0.2">
      <c r="J94" s="50"/>
      <c r="K94" s="50"/>
      <c r="L94" s="56"/>
      <c r="M94" s="50"/>
      <c r="N94" s="50"/>
      <c r="O94" s="50"/>
      <c r="P94" s="52"/>
      <c r="Q94" s="50"/>
      <c r="R94" s="50"/>
      <c r="S94" s="50"/>
      <c r="T94" s="50"/>
    </row>
    <row r="95" spans="3:20" x14ac:dyDescent="0.2">
      <c r="J95" s="50"/>
      <c r="L95" s="65"/>
      <c r="M95" s="65"/>
      <c r="R95" s="50"/>
      <c r="S95" s="50"/>
      <c r="T95" s="50"/>
    </row>
    <row r="96" spans="3:20" x14ac:dyDescent="0.2">
      <c r="J96" s="50"/>
      <c r="L96" s="65"/>
      <c r="M96" s="65"/>
      <c r="R96" s="50"/>
      <c r="S96" s="50"/>
      <c r="T96" s="50"/>
    </row>
    <row r="97" spans="10:20" x14ac:dyDescent="0.2">
      <c r="J97" s="50"/>
      <c r="L97" s="66"/>
      <c r="M97" s="66"/>
      <c r="N97" s="5"/>
      <c r="O97" s="5"/>
      <c r="P97" s="67"/>
      <c r="Q97" s="5"/>
      <c r="R97" s="50"/>
      <c r="S97" s="50"/>
      <c r="T97" s="50"/>
    </row>
    <row r="98" spans="10:20" s="5" customFormat="1" x14ac:dyDescent="0.2">
      <c r="J98" s="61"/>
      <c r="L98" s="66"/>
      <c r="M98" s="66"/>
      <c r="P98" s="67"/>
      <c r="R98" s="61"/>
      <c r="S98" s="61"/>
      <c r="T98" s="61"/>
    </row>
    <row r="99" spans="10:20" s="5" customFormat="1" x14ac:dyDescent="0.2">
      <c r="J99" s="61"/>
      <c r="L99" s="65"/>
      <c r="M99" s="65"/>
      <c r="N99" s="1"/>
      <c r="O99" s="1"/>
      <c r="P99" s="11"/>
      <c r="Q99" s="1"/>
      <c r="R99" s="61"/>
      <c r="S99" s="61"/>
      <c r="T99" s="61"/>
    </row>
    <row r="100" spans="10:20" x14ac:dyDescent="0.2">
      <c r="J100" s="50"/>
      <c r="L100" s="65"/>
      <c r="M100" s="65"/>
      <c r="R100" s="50"/>
      <c r="S100" s="50"/>
      <c r="T100" s="50"/>
    </row>
    <row r="101" spans="10:20" x14ac:dyDescent="0.2">
      <c r="J101" s="50"/>
      <c r="L101" s="65"/>
      <c r="M101" s="65"/>
      <c r="R101" s="50"/>
      <c r="S101" s="50"/>
      <c r="T101" s="50"/>
    </row>
    <row r="102" spans="10:20" x14ac:dyDescent="0.2">
      <c r="J102" s="50"/>
      <c r="L102" s="65"/>
      <c r="R102" s="50"/>
      <c r="S102" s="50"/>
      <c r="T102" s="50"/>
    </row>
    <row r="103" spans="10:20" x14ac:dyDescent="0.2">
      <c r="J103" s="50"/>
      <c r="L103" s="66"/>
      <c r="M103" s="5"/>
      <c r="N103" s="5"/>
      <c r="O103" s="5"/>
      <c r="P103" s="67"/>
      <c r="Q103" s="5"/>
      <c r="R103" s="50"/>
      <c r="S103" s="50"/>
      <c r="T103" s="50"/>
    </row>
    <row r="104" spans="10:20" s="5" customFormat="1" x14ac:dyDescent="0.2">
      <c r="J104" s="61"/>
      <c r="L104" s="66"/>
      <c r="P104" s="67"/>
      <c r="R104" s="61"/>
      <c r="S104" s="61"/>
      <c r="T104" s="61"/>
    </row>
    <row r="105" spans="10:20" s="5" customFormat="1" x14ac:dyDescent="0.2">
      <c r="J105" s="61"/>
      <c r="L105" s="65"/>
      <c r="M105" s="1"/>
      <c r="N105" s="1"/>
      <c r="O105" s="1"/>
      <c r="P105" s="11"/>
      <c r="Q105" s="1"/>
      <c r="R105" s="61"/>
      <c r="S105" s="61"/>
      <c r="T105" s="61"/>
    </row>
    <row r="106" spans="10:20" x14ac:dyDescent="0.2">
      <c r="J106" s="50"/>
      <c r="L106" s="65"/>
      <c r="R106" s="50"/>
      <c r="S106" s="50"/>
      <c r="T106" s="50"/>
    </row>
    <row r="107" spans="10:20" x14ac:dyDescent="0.2">
      <c r="J107" s="50"/>
      <c r="R107" s="50"/>
      <c r="S107" s="50"/>
      <c r="T107" s="50"/>
    </row>
    <row r="108" spans="10:20" x14ac:dyDescent="0.2">
      <c r="J108" s="50"/>
      <c r="R108" s="50"/>
      <c r="S108" s="50"/>
      <c r="T108" s="50"/>
    </row>
    <row r="109" spans="10:20" x14ac:dyDescent="0.2">
      <c r="J109" s="50"/>
      <c r="R109" s="50"/>
      <c r="S109" s="50"/>
      <c r="T109" s="50"/>
    </row>
    <row r="110" spans="10:20" x14ac:dyDescent="0.2">
      <c r="J110" s="50"/>
      <c r="R110" s="50"/>
      <c r="S110" s="50"/>
      <c r="T110" s="50"/>
    </row>
  </sheetData>
  <mergeCells count="56">
    <mergeCell ref="M91:O91"/>
    <mergeCell ref="M86:O86"/>
    <mergeCell ref="M87:O87"/>
    <mergeCell ref="M88:O88"/>
    <mergeCell ref="M89:O89"/>
    <mergeCell ref="M90:O90"/>
    <mergeCell ref="C92:G92"/>
    <mergeCell ref="D89:G89"/>
    <mergeCell ref="D90:G90"/>
    <mergeCell ref="D91:G91"/>
    <mergeCell ref="D86:G86"/>
    <mergeCell ref="D87:G87"/>
    <mergeCell ref="D88:G88"/>
    <mergeCell ref="M79:O79"/>
    <mergeCell ref="M73:O73"/>
    <mergeCell ref="D83:G83"/>
    <mergeCell ref="D84:G84"/>
    <mergeCell ref="D85:G85"/>
    <mergeCell ref="D80:G80"/>
    <mergeCell ref="D81:G81"/>
    <mergeCell ref="D82:G82"/>
    <mergeCell ref="M85:O85"/>
    <mergeCell ref="M80:O80"/>
    <mergeCell ref="M81:O81"/>
    <mergeCell ref="M82:O82"/>
    <mergeCell ref="M83:O83"/>
    <mergeCell ref="M84:O84"/>
    <mergeCell ref="M74:O74"/>
    <mergeCell ref="M75:O75"/>
    <mergeCell ref="M76:O76"/>
    <mergeCell ref="M77:O77"/>
    <mergeCell ref="M78:O78"/>
    <mergeCell ref="D77:G77"/>
    <mergeCell ref="D78:G78"/>
    <mergeCell ref="D79:G79"/>
    <mergeCell ref="D73:G73"/>
    <mergeCell ref="D74:G74"/>
    <mergeCell ref="D75:G75"/>
    <mergeCell ref="D76:G76"/>
    <mergeCell ref="A53:B53"/>
    <mergeCell ref="A1:V1"/>
    <mergeCell ref="A5:B5"/>
    <mergeCell ref="A6:B6"/>
    <mergeCell ref="A27:B27"/>
    <mergeCell ref="A38:B38"/>
    <mergeCell ref="A60:B60"/>
    <mergeCell ref="A67:B67"/>
    <mergeCell ref="A68:B68"/>
    <mergeCell ref="A69:V69"/>
    <mergeCell ref="C71:C72"/>
    <mergeCell ref="D71:G72"/>
    <mergeCell ref="H71:I71"/>
    <mergeCell ref="K71:K72"/>
    <mergeCell ref="P71:Q71"/>
    <mergeCell ref="M71:O72"/>
    <mergeCell ref="L71:L72"/>
  </mergeCells>
  <printOptions horizontalCentered="1"/>
  <pageMargins left="0.15748031496062992" right="0.15748031496062992" top="0.35433070866141736" bottom="0.27559055118110237" header="0.15748031496062992" footer="0.15748031496062992"/>
  <pageSetup paperSize="9" fitToHeight="3" orientation="landscape" r:id="rId1"/>
  <headerFooter alignWithMargins="0">
    <oddFooter>&amp;C&amp;"Times New Roman,Regular"Trang 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zoomScaleNormal="100" workbookViewId="0">
      <pane xSplit="2" ySplit="3" topLeftCell="C28" activePane="bottomRight" state="frozen"/>
      <selection pane="topRight" activeCell="C1" sqref="C1"/>
      <selection pane="bottomLeft" activeCell="A5" sqref="A5"/>
      <selection pane="bottomRight" activeCell="I42" sqref="I42"/>
    </sheetView>
  </sheetViews>
  <sheetFormatPr defaultRowHeight="12.75" x14ac:dyDescent="0.2"/>
  <cols>
    <col min="1" max="1" width="3.5703125" style="48" bestFit="1" customWidth="1"/>
    <col min="2" max="2" width="21.140625" style="48" customWidth="1"/>
    <col min="3" max="3" width="8.5703125" style="48" customWidth="1"/>
    <col min="4" max="4" width="7.85546875" style="48" customWidth="1"/>
    <col min="5" max="5" width="7.140625" style="48" customWidth="1"/>
    <col min="6" max="6" width="8.85546875" style="48" bestFit="1" customWidth="1"/>
    <col min="7" max="7" width="7.42578125" style="48" customWidth="1"/>
    <col min="8" max="8" width="8.5703125" style="48" customWidth="1"/>
    <col min="9" max="9" width="8.28515625" style="48" customWidth="1"/>
    <col min="10" max="10" width="7.85546875" style="102" customWidth="1"/>
    <col min="11" max="11" width="7.7109375" style="48" bestFit="1" customWidth="1"/>
    <col min="12" max="12" width="9" style="48" customWidth="1"/>
    <col min="13" max="13" width="7.7109375" style="126" bestFit="1" customWidth="1"/>
    <col min="14" max="14" width="8.42578125" style="126" customWidth="1"/>
    <col min="15" max="16" width="7.5703125" style="48" customWidth="1"/>
    <col min="17" max="17" width="9" style="48" customWidth="1"/>
    <col min="18" max="18" width="7.7109375" style="48" bestFit="1" customWidth="1"/>
    <col min="19" max="19" width="8.140625" style="48" customWidth="1"/>
    <col min="20" max="21" width="7.7109375" style="48" customWidth="1"/>
    <col min="22" max="22" width="7.140625" style="48" customWidth="1"/>
    <col min="23" max="23" width="9.140625" style="48"/>
    <col min="24" max="24" width="9.85546875" style="48" bestFit="1" customWidth="1"/>
    <col min="25" max="16384" width="9.140625" style="48"/>
  </cols>
  <sheetData>
    <row r="1" spans="1:24" ht="35.25" customHeight="1" x14ac:dyDescent="0.2">
      <c r="A1" s="308" t="s">
        <v>140</v>
      </c>
      <c r="B1" s="308"/>
      <c r="C1" s="308"/>
      <c r="D1" s="308"/>
      <c r="E1" s="308"/>
      <c r="F1" s="308"/>
      <c r="G1" s="308"/>
      <c r="H1" s="308"/>
      <c r="I1" s="308"/>
      <c r="J1" s="308"/>
      <c r="K1" s="308"/>
      <c r="L1" s="308"/>
      <c r="M1" s="308"/>
      <c r="N1" s="308"/>
      <c r="O1" s="308"/>
      <c r="P1" s="308"/>
      <c r="Q1" s="308"/>
      <c r="R1" s="308"/>
      <c r="S1" s="308"/>
      <c r="T1" s="308"/>
      <c r="U1" s="308"/>
      <c r="V1" s="308"/>
    </row>
    <row r="2" spans="1:24" s="94" customFormat="1" ht="83.25" customHeight="1" x14ac:dyDescent="0.2">
      <c r="A2" s="91" t="s">
        <v>76</v>
      </c>
      <c r="B2" s="131" t="s">
        <v>137</v>
      </c>
      <c r="C2" s="4" t="s">
        <v>0</v>
      </c>
      <c r="D2" s="4" t="s">
        <v>1</v>
      </c>
      <c r="E2" s="4" t="s">
        <v>2</v>
      </c>
      <c r="F2" s="91" t="s">
        <v>3</v>
      </c>
      <c r="G2" s="4" t="s">
        <v>4</v>
      </c>
      <c r="H2" s="4" t="s">
        <v>5</v>
      </c>
      <c r="I2" s="4" t="s">
        <v>101</v>
      </c>
      <c r="J2" s="92" t="s">
        <v>100</v>
      </c>
      <c r="K2" s="4" t="s">
        <v>6</v>
      </c>
      <c r="L2" s="4" t="s">
        <v>183</v>
      </c>
      <c r="M2" s="4" t="s">
        <v>8</v>
      </c>
      <c r="N2" s="4" t="s">
        <v>102</v>
      </c>
      <c r="O2" s="4" t="s">
        <v>141</v>
      </c>
      <c r="P2" s="4" t="s">
        <v>104</v>
      </c>
      <c r="Q2" s="93" t="s">
        <v>139</v>
      </c>
      <c r="R2" s="4" t="s">
        <v>10</v>
      </c>
      <c r="S2" s="4" t="s">
        <v>105</v>
      </c>
      <c r="T2" s="4" t="s">
        <v>106</v>
      </c>
      <c r="U2" s="4" t="s">
        <v>107</v>
      </c>
      <c r="V2" s="4" t="s">
        <v>138</v>
      </c>
    </row>
    <row r="3" spans="1:24" s="97" customFormat="1" ht="8.25" customHeight="1" x14ac:dyDescent="0.2">
      <c r="A3" s="95"/>
      <c r="B3" s="96"/>
      <c r="C3" s="139">
        <v>1</v>
      </c>
      <c r="D3" s="139">
        <v>2</v>
      </c>
      <c r="E3" s="139">
        <v>3</v>
      </c>
      <c r="F3" s="139">
        <v>4</v>
      </c>
      <c r="G3" s="139">
        <v>5</v>
      </c>
      <c r="H3" s="139">
        <v>6</v>
      </c>
      <c r="I3" s="139">
        <v>7</v>
      </c>
      <c r="J3" s="140">
        <v>8</v>
      </c>
      <c r="K3" s="139">
        <v>9</v>
      </c>
      <c r="L3" s="139">
        <v>10</v>
      </c>
      <c r="M3" s="140">
        <v>11</v>
      </c>
      <c r="N3" s="140">
        <v>12</v>
      </c>
      <c r="O3" s="139">
        <v>13</v>
      </c>
      <c r="P3" s="139">
        <v>14</v>
      </c>
      <c r="Q3" s="139">
        <v>15</v>
      </c>
      <c r="R3" s="139">
        <v>16</v>
      </c>
      <c r="S3" s="139">
        <v>17</v>
      </c>
      <c r="T3" s="139">
        <v>18</v>
      </c>
      <c r="U3" s="139">
        <v>19</v>
      </c>
      <c r="V3" s="139">
        <v>20</v>
      </c>
    </row>
    <row r="4" spans="1:24" s="104" customFormat="1" ht="18" customHeight="1" x14ac:dyDescent="0.2">
      <c r="A4" s="318" t="s">
        <v>67</v>
      </c>
      <c r="B4" s="312"/>
      <c r="C4" s="98">
        <f t="shared" ref="C4:T4" si="0">COUNTIF(C5:C10,"X")</f>
        <v>6</v>
      </c>
      <c r="D4" s="98">
        <f t="shared" si="0"/>
        <v>2</v>
      </c>
      <c r="E4" s="98">
        <f t="shared" si="0"/>
        <v>2</v>
      </c>
      <c r="F4" s="98">
        <f t="shared" si="0"/>
        <v>6</v>
      </c>
      <c r="G4" s="98">
        <f t="shared" si="0"/>
        <v>3</v>
      </c>
      <c r="H4" s="98">
        <f t="shared" si="0"/>
        <v>6</v>
      </c>
      <c r="I4" s="98">
        <f t="shared" si="0"/>
        <v>6</v>
      </c>
      <c r="J4" s="98">
        <f t="shared" si="0"/>
        <v>6</v>
      </c>
      <c r="K4" s="98">
        <f t="shared" si="0"/>
        <v>2</v>
      </c>
      <c r="L4" s="98">
        <f t="shared" si="0"/>
        <v>0</v>
      </c>
      <c r="M4" s="98">
        <f t="shared" si="0"/>
        <v>0</v>
      </c>
      <c r="N4" s="98">
        <f t="shared" si="0"/>
        <v>6</v>
      </c>
      <c r="O4" s="98">
        <f t="shared" si="0"/>
        <v>3</v>
      </c>
      <c r="P4" s="98">
        <f t="shared" si="0"/>
        <v>6</v>
      </c>
      <c r="Q4" s="98">
        <f t="shared" si="0"/>
        <v>6</v>
      </c>
      <c r="R4" s="98">
        <f t="shared" si="0"/>
        <v>6</v>
      </c>
      <c r="S4" s="98">
        <f t="shared" si="0"/>
        <v>4</v>
      </c>
      <c r="T4" s="98">
        <f t="shared" si="0"/>
        <v>6</v>
      </c>
      <c r="U4" s="98">
        <f>COUNTIF(U5:U10,"X")</f>
        <v>6</v>
      </c>
      <c r="V4" s="103">
        <f>AVERAGE(V5:V10)</f>
        <v>13.666666666666666</v>
      </c>
    </row>
    <row r="5" spans="1:24" s="102" customFormat="1" ht="12.95" customHeight="1" x14ac:dyDescent="0.2">
      <c r="A5" s="98">
        <v>1</v>
      </c>
      <c r="B5" s="100" t="s">
        <v>68</v>
      </c>
      <c r="C5" s="134" t="s">
        <v>99</v>
      </c>
      <c r="D5" s="134"/>
      <c r="E5" s="134" t="s">
        <v>99</v>
      </c>
      <c r="F5" s="134" t="s">
        <v>99</v>
      </c>
      <c r="G5" s="134" t="s">
        <v>99</v>
      </c>
      <c r="H5" s="134" t="s">
        <v>99</v>
      </c>
      <c r="I5" s="134" t="s">
        <v>99</v>
      </c>
      <c r="J5" s="134" t="s">
        <v>99</v>
      </c>
      <c r="K5" s="134"/>
      <c r="L5" s="134"/>
      <c r="M5" s="134"/>
      <c r="N5" s="134" t="s">
        <v>99</v>
      </c>
      <c r="O5" s="134" t="s">
        <v>99</v>
      </c>
      <c r="P5" s="134" t="s">
        <v>99</v>
      </c>
      <c r="Q5" s="134" t="s">
        <v>99</v>
      </c>
      <c r="R5" s="134" t="s">
        <v>99</v>
      </c>
      <c r="S5" s="134" t="s">
        <v>99</v>
      </c>
      <c r="T5" s="134" t="s">
        <v>99</v>
      </c>
      <c r="U5" s="141" t="s">
        <v>99</v>
      </c>
      <c r="V5" s="135">
        <f>COUNTIF(C5:U5,"X")</f>
        <v>15</v>
      </c>
    </row>
    <row r="6" spans="1:24" s="102" customFormat="1" ht="12.95" customHeight="1" x14ac:dyDescent="0.2">
      <c r="A6" s="98">
        <v>2</v>
      </c>
      <c r="B6" s="100" t="s">
        <v>69</v>
      </c>
      <c r="C6" s="134" t="s">
        <v>99</v>
      </c>
      <c r="D6" s="134"/>
      <c r="E6" s="134"/>
      <c r="F6" s="134" t="s">
        <v>99</v>
      </c>
      <c r="G6" s="134"/>
      <c r="H6" s="134" t="s">
        <v>99</v>
      </c>
      <c r="I6" s="134" t="s">
        <v>99</v>
      </c>
      <c r="J6" s="134" t="s">
        <v>99</v>
      </c>
      <c r="K6" s="134" t="s">
        <v>99</v>
      </c>
      <c r="L6" s="134"/>
      <c r="M6" s="134"/>
      <c r="N6" s="134" t="s">
        <v>99</v>
      </c>
      <c r="O6" s="134"/>
      <c r="P6" s="134" t="s">
        <v>99</v>
      </c>
      <c r="Q6" s="134" t="s">
        <v>99</v>
      </c>
      <c r="R6" s="134" t="s">
        <v>99</v>
      </c>
      <c r="S6" s="134" t="s">
        <v>99</v>
      </c>
      <c r="T6" s="134" t="s">
        <v>99</v>
      </c>
      <c r="U6" s="141" t="s">
        <v>99</v>
      </c>
      <c r="V6" s="135">
        <f>COUNTIF(C6:U6,"X")</f>
        <v>13</v>
      </c>
    </row>
    <row r="7" spans="1:24" s="102" customFormat="1" ht="12.95" customHeight="1" x14ac:dyDescent="0.2">
      <c r="A7" s="98">
        <v>3</v>
      </c>
      <c r="B7" s="100" t="s">
        <v>71</v>
      </c>
      <c r="C7" s="134" t="s">
        <v>99</v>
      </c>
      <c r="D7" s="134"/>
      <c r="E7" s="134"/>
      <c r="F7" s="134" t="s">
        <v>99</v>
      </c>
      <c r="G7" s="134"/>
      <c r="H7" s="134" t="s">
        <v>99</v>
      </c>
      <c r="I7" s="134" t="s">
        <v>99</v>
      </c>
      <c r="J7" s="134" t="s">
        <v>99</v>
      </c>
      <c r="K7" s="134"/>
      <c r="L7" s="134"/>
      <c r="M7" s="134"/>
      <c r="N7" s="134" t="s">
        <v>99</v>
      </c>
      <c r="O7" s="134" t="s">
        <v>99</v>
      </c>
      <c r="P7" s="134" t="s">
        <v>99</v>
      </c>
      <c r="Q7" s="134" t="s">
        <v>99</v>
      </c>
      <c r="R7" s="134" t="s">
        <v>99</v>
      </c>
      <c r="S7" s="134" t="s">
        <v>99</v>
      </c>
      <c r="T7" s="134" t="s">
        <v>99</v>
      </c>
      <c r="U7" s="141" t="s">
        <v>99</v>
      </c>
      <c r="V7" s="135">
        <f t="shared" ref="V7:V10" si="1">COUNTIF(C7:U7,"X")</f>
        <v>13</v>
      </c>
    </row>
    <row r="8" spans="1:24" s="102" customFormat="1" ht="12.95" customHeight="1" x14ac:dyDescent="0.2">
      <c r="A8" s="98">
        <v>4</v>
      </c>
      <c r="B8" s="100" t="s">
        <v>70</v>
      </c>
      <c r="C8" s="134" t="s">
        <v>99</v>
      </c>
      <c r="D8" s="134" t="s">
        <v>99</v>
      </c>
      <c r="E8" s="134"/>
      <c r="F8" s="134" t="s">
        <v>99</v>
      </c>
      <c r="G8" s="134"/>
      <c r="H8" s="134" t="s">
        <v>99</v>
      </c>
      <c r="I8" s="134" t="s">
        <v>99</v>
      </c>
      <c r="J8" s="134" t="s">
        <v>99</v>
      </c>
      <c r="K8" s="134"/>
      <c r="L8" s="134"/>
      <c r="M8" s="134"/>
      <c r="N8" s="134" t="s">
        <v>99</v>
      </c>
      <c r="O8" s="134"/>
      <c r="P8" s="134" t="s">
        <v>99</v>
      </c>
      <c r="Q8" s="134" t="s">
        <v>99</v>
      </c>
      <c r="R8" s="134" t="s">
        <v>99</v>
      </c>
      <c r="S8" s="134"/>
      <c r="T8" s="134" t="s">
        <v>99</v>
      </c>
      <c r="U8" s="134" t="s">
        <v>99</v>
      </c>
      <c r="V8" s="135">
        <f>COUNTIF(C8:U8,"X")</f>
        <v>12</v>
      </c>
    </row>
    <row r="9" spans="1:24" s="102" customFormat="1" ht="12.95" customHeight="1" x14ac:dyDescent="0.2">
      <c r="A9" s="98">
        <v>5</v>
      </c>
      <c r="B9" s="100" t="s">
        <v>72</v>
      </c>
      <c r="C9" s="134" t="s">
        <v>99</v>
      </c>
      <c r="D9" s="134" t="s">
        <v>99</v>
      </c>
      <c r="E9" s="134" t="s">
        <v>99</v>
      </c>
      <c r="F9" s="134" t="s">
        <v>99</v>
      </c>
      <c r="G9" s="134" t="s">
        <v>99</v>
      </c>
      <c r="H9" s="134" t="s">
        <v>99</v>
      </c>
      <c r="I9" s="134" t="s">
        <v>99</v>
      </c>
      <c r="J9" s="134" t="s">
        <v>99</v>
      </c>
      <c r="K9" s="134"/>
      <c r="L9" s="134"/>
      <c r="M9" s="134"/>
      <c r="N9" s="134" t="s">
        <v>99</v>
      </c>
      <c r="O9" s="134"/>
      <c r="P9" s="134" t="s">
        <v>99</v>
      </c>
      <c r="Q9" s="134" t="s">
        <v>99</v>
      </c>
      <c r="R9" s="134" t="s">
        <v>99</v>
      </c>
      <c r="S9" s="134" t="s">
        <v>99</v>
      </c>
      <c r="T9" s="134" t="s">
        <v>99</v>
      </c>
      <c r="U9" s="141" t="s">
        <v>99</v>
      </c>
      <c r="V9" s="135">
        <f t="shared" si="1"/>
        <v>15</v>
      </c>
    </row>
    <row r="10" spans="1:24" s="102" customFormat="1" ht="12.95" customHeight="1" x14ac:dyDescent="0.2">
      <c r="A10" s="98">
        <v>6</v>
      </c>
      <c r="B10" s="100" t="s">
        <v>73</v>
      </c>
      <c r="C10" s="134" t="s">
        <v>99</v>
      </c>
      <c r="D10" s="134"/>
      <c r="E10" s="134"/>
      <c r="F10" s="134" t="s">
        <v>99</v>
      </c>
      <c r="G10" s="134" t="s">
        <v>99</v>
      </c>
      <c r="H10" s="134" t="s">
        <v>99</v>
      </c>
      <c r="I10" s="134" t="s">
        <v>99</v>
      </c>
      <c r="J10" s="134" t="s">
        <v>99</v>
      </c>
      <c r="K10" s="134" t="s">
        <v>99</v>
      </c>
      <c r="L10" s="134"/>
      <c r="M10" s="134"/>
      <c r="N10" s="134" t="s">
        <v>99</v>
      </c>
      <c r="O10" s="134" t="s">
        <v>99</v>
      </c>
      <c r="P10" s="134" t="s">
        <v>99</v>
      </c>
      <c r="Q10" s="134" t="s">
        <v>99</v>
      </c>
      <c r="R10" s="134" t="s">
        <v>99</v>
      </c>
      <c r="S10" s="136"/>
      <c r="T10" s="134" t="s">
        <v>99</v>
      </c>
      <c r="U10" s="134" t="s">
        <v>99</v>
      </c>
      <c r="V10" s="135">
        <f t="shared" si="1"/>
        <v>14</v>
      </c>
      <c r="W10" s="102" t="s">
        <v>136</v>
      </c>
    </row>
    <row r="11" spans="1:24" s="106" customFormat="1" ht="30.75" customHeight="1" x14ac:dyDescent="0.3">
      <c r="A11" s="311" t="s">
        <v>142</v>
      </c>
      <c r="B11" s="312"/>
      <c r="C11" s="160" t="e">
        <f>#REF!+#REF!+#REF!+#REF!+C4</f>
        <v>#REF!</v>
      </c>
      <c r="D11" s="160" t="e">
        <f>#REF!+#REF!+#REF!+#REF!+D4</f>
        <v>#REF!</v>
      </c>
      <c r="E11" s="160" t="e">
        <f>#REF!+#REF!+#REF!+#REF!+E4</f>
        <v>#REF!</v>
      </c>
      <c r="F11" s="160" t="e">
        <f>#REF!+#REF!+#REF!+#REF!+F4</f>
        <v>#REF!</v>
      </c>
      <c r="G11" s="160" t="e">
        <f>#REF!+#REF!+#REF!+#REF!+G4</f>
        <v>#REF!</v>
      </c>
      <c r="H11" s="160" t="e">
        <f>#REF!+#REF!+#REF!+#REF!+H4</f>
        <v>#REF!</v>
      </c>
      <c r="I11" s="160" t="e">
        <f>#REF!+#REF!+#REF!+#REF!+I4</f>
        <v>#REF!</v>
      </c>
      <c r="J11" s="160" t="e">
        <f>#REF!+#REF!+#REF!+#REF!+J4</f>
        <v>#REF!</v>
      </c>
      <c r="K11" s="160" t="e">
        <f>#REF!+#REF!+#REF!+#REF!+K4</f>
        <v>#REF!</v>
      </c>
      <c r="L11" s="160" t="e">
        <f>#REF!+#REF!+#REF!+#REF!+L4</f>
        <v>#REF!</v>
      </c>
      <c r="M11" s="160" t="e">
        <f>#REF!+#REF!+#REF!+#REF!+M4</f>
        <v>#REF!</v>
      </c>
      <c r="N11" s="160" t="e">
        <f>#REF!+#REF!+#REF!+#REF!+N4</f>
        <v>#REF!</v>
      </c>
      <c r="O11" s="160" t="e">
        <f>#REF!+#REF!+#REF!+#REF!+O4</f>
        <v>#REF!</v>
      </c>
      <c r="P11" s="160" t="e">
        <f>#REF!+#REF!+#REF!+#REF!+P4</f>
        <v>#REF!</v>
      </c>
      <c r="Q11" s="160" t="e">
        <f>#REF!+#REF!+#REF!+#REF!+Q4</f>
        <v>#REF!</v>
      </c>
      <c r="R11" s="160" t="e">
        <f>#REF!+#REF!+#REF!+#REF!+R4</f>
        <v>#REF!</v>
      </c>
      <c r="S11" s="160" t="e">
        <f>#REF!+#REF!+#REF!+#REF!+S4</f>
        <v>#REF!</v>
      </c>
      <c r="T11" s="160" t="e">
        <f>#REF!+#REF!+#REF!+#REF!+T4</f>
        <v>#REF!</v>
      </c>
      <c r="U11" s="98" t="e">
        <f>#REF!+#REF!+#REF!+#REF!+U4</f>
        <v>#REF!</v>
      </c>
      <c r="V11" s="155" t="e">
        <f>(SUM(V7:V10)+SUM(#REF!)+SUM(#REF!)+SUM(#REF!)+SUM(#REF!))/56</f>
        <v>#REF!</v>
      </c>
      <c r="W11" s="105"/>
      <c r="X11" s="137"/>
    </row>
    <row r="12" spans="1:24" s="107" customFormat="1" ht="21" customHeight="1" x14ac:dyDescent="0.2">
      <c r="A12" s="313" t="s">
        <v>143</v>
      </c>
      <c r="B12" s="314"/>
      <c r="C12" s="144" t="e">
        <f t="shared" ref="C12:U12" si="2">100*C11/56</f>
        <v>#REF!</v>
      </c>
      <c r="D12" s="145" t="e">
        <f t="shared" si="2"/>
        <v>#REF!</v>
      </c>
      <c r="E12" s="145" t="e">
        <f t="shared" si="2"/>
        <v>#REF!</v>
      </c>
      <c r="F12" s="144" t="e">
        <f t="shared" si="2"/>
        <v>#REF!</v>
      </c>
      <c r="G12" s="145" t="e">
        <f t="shared" si="2"/>
        <v>#REF!</v>
      </c>
      <c r="H12" s="145" t="e">
        <f t="shared" si="2"/>
        <v>#REF!</v>
      </c>
      <c r="I12" s="144" t="e">
        <f t="shared" si="2"/>
        <v>#REF!</v>
      </c>
      <c r="J12" s="144" t="e">
        <f t="shared" si="2"/>
        <v>#REF!</v>
      </c>
      <c r="K12" s="145" t="e">
        <f t="shared" si="2"/>
        <v>#REF!</v>
      </c>
      <c r="L12" s="145" t="e">
        <f t="shared" si="2"/>
        <v>#REF!</v>
      </c>
      <c r="M12" s="144" t="e">
        <f t="shared" si="2"/>
        <v>#REF!</v>
      </c>
      <c r="N12" s="144" t="e">
        <f t="shared" si="2"/>
        <v>#REF!</v>
      </c>
      <c r="O12" s="145" t="e">
        <f t="shared" si="2"/>
        <v>#REF!</v>
      </c>
      <c r="P12" s="145" t="e">
        <f t="shared" si="2"/>
        <v>#REF!</v>
      </c>
      <c r="Q12" s="145" t="e">
        <f>100*Q11/56</f>
        <v>#REF!</v>
      </c>
      <c r="R12" s="144" t="e">
        <f t="shared" si="2"/>
        <v>#REF!</v>
      </c>
      <c r="S12" s="145" t="e">
        <f t="shared" si="2"/>
        <v>#REF!</v>
      </c>
      <c r="T12" s="145" t="e">
        <f t="shared" si="2"/>
        <v>#REF!</v>
      </c>
      <c r="U12" s="143" t="e">
        <f t="shared" si="2"/>
        <v>#REF!</v>
      </c>
      <c r="V12" s="142"/>
    </row>
    <row r="13" spans="1:24" s="107" customFormat="1" ht="16.5" customHeight="1" x14ac:dyDescent="0.2">
      <c r="A13" s="315" t="s">
        <v>184</v>
      </c>
      <c r="B13" s="316"/>
      <c r="C13" s="316"/>
      <c r="D13" s="316"/>
      <c r="E13" s="316"/>
      <c r="F13" s="316"/>
      <c r="G13" s="316"/>
      <c r="H13" s="316"/>
      <c r="I13" s="316"/>
      <c r="J13" s="316"/>
      <c r="K13" s="316"/>
      <c r="L13" s="316"/>
      <c r="M13" s="316"/>
      <c r="N13" s="316"/>
      <c r="O13" s="316"/>
      <c r="P13" s="316"/>
      <c r="Q13" s="316"/>
      <c r="R13" s="316"/>
      <c r="S13" s="316"/>
      <c r="T13" s="316"/>
      <c r="U13" s="316"/>
      <c r="V13" s="317"/>
    </row>
    <row r="14" spans="1:24" ht="18.75" x14ac:dyDescent="0.3">
      <c r="K14" s="108"/>
      <c r="L14" s="108"/>
      <c r="M14" s="109"/>
      <c r="N14" s="109"/>
      <c r="O14" s="108"/>
      <c r="P14" s="108"/>
      <c r="Q14" s="108"/>
      <c r="R14" s="108"/>
      <c r="S14" s="108"/>
      <c r="T14" s="108"/>
      <c r="U14" s="108"/>
      <c r="V14" s="110"/>
    </row>
    <row r="15" spans="1:24" ht="31.5" customHeight="1" x14ac:dyDescent="0.2">
      <c r="C15" s="304" t="s">
        <v>76</v>
      </c>
      <c r="D15" s="304" t="s">
        <v>77</v>
      </c>
      <c r="E15" s="304"/>
      <c r="F15" s="304"/>
      <c r="G15" s="304"/>
      <c r="H15" s="305" t="s">
        <v>185</v>
      </c>
      <c r="I15" s="306"/>
      <c r="K15" s="307"/>
      <c r="L15" s="304" t="s">
        <v>76</v>
      </c>
      <c r="M15" s="304" t="s">
        <v>77</v>
      </c>
      <c r="N15" s="304"/>
      <c r="O15" s="304"/>
      <c r="P15" s="305" t="s">
        <v>185</v>
      </c>
      <c r="Q15" s="306"/>
    </row>
    <row r="16" spans="1:24" ht="28.5" customHeight="1" x14ac:dyDescent="0.2">
      <c r="C16" s="304"/>
      <c r="D16" s="304"/>
      <c r="E16" s="304"/>
      <c r="F16" s="304"/>
      <c r="G16" s="304"/>
      <c r="H16" s="111" t="s">
        <v>144</v>
      </c>
      <c r="I16" s="111" t="s">
        <v>80</v>
      </c>
      <c r="K16" s="307"/>
      <c r="L16" s="304"/>
      <c r="M16" s="304"/>
      <c r="N16" s="304"/>
      <c r="O16" s="304"/>
      <c r="P16" s="111" t="s">
        <v>144</v>
      </c>
      <c r="Q16" s="111" t="s">
        <v>80</v>
      </c>
    </row>
    <row r="17" spans="3:20" ht="15.75" x14ac:dyDescent="0.2">
      <c r="C17" s="112">
        <v>1</v>
      </c>
      <c r="D17" s="298" t="s">
        <v>145</v>
      </c>
      <c r="E17" s="299"/>
      <c r="F17" s="299"/>
      <c r="G17" s="300"/>
      <c r="H17" s="156" t="e">
        <f>COUNTIF(#REF!,1)+COUNTIF(#REF!,1)+COUNTIF(#REF!,1)+COUNTIF(#REF!,1)+COUNTIF($V$5:$V$10,1)</f>
        <v>#REF!</v>
      </c>
      <c r="I17" s="113" t="e">
        <f t="shared" ref="I17:I35" si="3">H17/$H$36*100</f>
        <v>#REF!</v>
      </c>
      <c r="K17" s="158"/>
      <c r="L17" s="85">
        <v>1</v>
      </c>
      <c r="M17" s="298" t="s">
        <v>146</v>
      </c>
      <c r="N17" s="299"/>
      <c r="O17" s="300"/>
      <c r="P17" s="114" t="e">
        <f>C11</f>
        <v>#REF!</v>
      </c>
      <c r="Q17" s="113" t="e">
        <f t="shared" ref="Q17:Q35" si="4">P17/$H$36*100</f>
        <v>#REF!</v>
      </c>
    </row>
    <row r="18" spans="3:20" ht="15.75" x14ac:dyDescent="0.2">
      <c r="C18" s="112">
        <v>2</v>
      </c>
      <c r="D18" s="298" t="s">
        <v>147</v>
      </c>
      <c r="E18" s="299"/>
      <c r="F18" s="299"/>
      <c r="G18" s="300"/>
      <c r="H18" s="114" t="e">
        <f>COUNTIF(#REF!,2)+COUNTIF(#REF!,2)+COUNTIF(#REF!,2)+COUNTIF(#REF!,2)+COUNTIF($V$5:$V$10,2)</f>
        <v>#REF!</v>
      </c>
      <c r="I18" s="113" t="e">
        <f t="shared" si="3"/>
        <v>#REF!</v>
      </c>
      <c r="K18" s="158"/>
      <c r="L18" s="85">
        <v>2</v>
      </c>
      <c r="M18" s="298" t="s">
        <v>148</v>
      </c>
      <c r="N18" s="299"/>
      <c r="O18" s="300"/>
      <c r="P18" s="114" t="e">
        <f>D11</f>
        <v>#REF!</v>
      </c>
      <c r="Q18" s="113" t="e">
        <f t="shared" si="4"/>
        <v>#REF!</v>
      </c>
    </row>
    <row r="19" spans="3:20" s="115" customFormat="1" ht="18" customHeight="1" x14ac:dyDescent="0.2">
      <c r="C19" s="112">
        <v>3</v>
      </c>
      <c r="D19" s="298" t="s">
        <v>149</v>
      </c>
      <c r="E19" s="299"/>
      <c r="F19" s="299"/>
      <c r="G19" s="300"/>
      <c r="H19" s="114" t="e">
        <f>COUNTIF(#REF!,3)+COUNTIF(#REF!,3)+COUNTIF(#REF!,3)+COUNTIF(#REF!,3)+COUNTIF($V$5:$V$10,3)</f>
        <v>#REF!</v>
      </c>
      <c r="I19" s="113" t="e">
        <f t="shared" si="3"/>
        <v>#REF!</v>
      </c>
      <c r="J19" s="116"/>
      <c r="K19" s="158"/>
      <c r="L19" s="85">
        <v>3</v>
      </c>
      <c r="M19" s="298" t="s">
        <v>150</v>
      </c>
      <c r="N19" s="299"/>
      <c r="O19" s="300"/>
      <c r="P19" s="114" t="e">
        <f>E11</f>
        <v>#REF!</v>
      </c>
      <c r="Q19" s="113" t="e">
        <f t="shared" si="4"/>
        <v>#REF!</v>
      </c>
      <c r="T19" s="117"/>
    </row>
    <row r="20" spans="3:20" s="115" customFormat="1" ht="18" customHeight="1" x14ac:dyDescent="0.2">
      <c r="C20" s="112">
        <v>4</v>
      </c>
      <c r="D20" s="298" t="s">
        <v>151</v>
      </c>
      <c r="E20" s="299"/>
      <c r="F20" s="299"/>
      <c r="G20" s="300"/>
      <c r="H20" s="114" t="e">
        <f>COUNTIF(#REF!,4)+COUNTIF(#REF!,4)+COUNTIF(#REF!,4)+COUNTIF(#REF!,4)+COUNTIF($V$5:$V$10,4)</f>
        <v>#REF!</v>
      </c>
      <c r="I20" s="113" t="e">
        <f t="shared" si="3"/>
        <v>#REF!</v>
      </c>
      <c r="J20" s="116"/>
      <c r="K20" s="158"/>
      <c r="L20" s="85">
        <v>4</v>
      </c>
      <c r="M20" s="298" t="s">
        <v>152</v>
      </c>
      <c r="N20" s="299"/>
      <c r="O20" s="300"/>
      <c r="P20" s="114" t="e">
        <f>F11</f>
        <v>#REF!</v>
      </c>
      <c r="Q20" s="113" t="e">
        <f t="shared" si="4"/>
        <v>#REF!</v>
      </c>
      <c r="T20" s="117"/>
    </row>
    <row r="21" spans="3:20" s="115" customFormat="1" ht="18" customHeight="1" x14ac:dyDescent="0.2">
      <c r="C21" s="112">
        <v>5</v>
      </c>
      <c r="D21" s="298" t="s">
        <v>153</v>
      </c>
      <c r="E21" s="299"/>
      <c r="F21" s="299"/>
      <c r="G21" s="300"/>
      <c r="H21" s="114" t="e">
        <f>COUNTIF(#REF!,5)+COUNTIF(#REF!,5)+COUNTIF(#REF!,5)+COUNTIF(#REF!,5)+COUNTIF($V$5:$V$10,5)</f>
        <v>#REF!</v>
      </c>
      <c r="I21" s="113" t="e">
        <f t="shared" si="3"/>
        <v>#REF!</v>
      </c>
      <c r="J21" s="118"/>
      <c r="K21" s="158"/>
      <c r="L21" s="85">
        <v>5</v>
      </c>
      <c r="M21" s="298" t="s">
        <v>154</v>
      </c>
      <c r="N21" s="299"/>
      <c r="O21" s="300"/>
      <c r="P21" s="114" t="e">
        <f>G11</f>
        <v>#REF!</v>
      </c>
      <c r="Q21" s="113" t="e">
        <f t="shared" si="4"/>
        <v>#REF!</v>
      </c>
      <c r="T21" s="117"/>
    </row>
    <row r="22" spans="3:20" s="115" customFormat="1" ht="18" customHeight="1" x14ac:dyDescent="0.2">
      <c r="C22" s="112">
        <v>6</v>
      </c>
      <c r="D22" s="298" t="s">
        <v>155</v>
      </c>
      <c r="E22" s="299"/>
      <c r="F22" s="299"/>
      <c r="G22" s="300"/>
      <c r="H22" s="114" t="e">
        <f>COUNTIF(#REF!,6)+COUNTIF(#REF!,6)+COUNTIF(#REF!,6)+COUNTIF(#REF!,6)+COUNTIF($V$5:$V$10,6)</f>
        <v>#REF!</v>
      </c>
      <c r="I22" s="113" t="e">
        <f t="shared" si="3"/>
        <v>#REF!</v>
      </c>
      <c r="J22" s="118"/>
      <c r="K22" s="158"/>
      <c r="L22" s="85">
        <v>6</v>
      </c>
      <c r="M22" s="298" t="s">
        <v>156</v>
      </c>
      <c r="N22" s="299"/>
      <c r="O22" s="300"/>
      <c r="P22" s="114" t="e">
        <f>H11</f>
        <v>#REF!</v>
      </c>
      <c r="Q22" s="113" t="e">
        <f t="shared" si="4"/>
        <v>#REF!</v>
      </c>
      <c r="T22" s="117"/>
    </row>
    <row r="23" spans="3:20" s="115" customFormat="1" ht="18" customHeight="1" x14ac:dyDescent="0.2">
      <c r="C23" s="112">
        <v>7</v>
      </c>
      <c r="D23" s="298" t="s">
        <v>157</v>
      </c>
      <c r="E23" s="299"/>
      <c r="F23" s="299"/>
      <c r="G23" s="300"/>
      <c r="H23" s="114" t="e">
        <f>COUNTIF(#REF!,7)+COUNTIF(#REF!,7)+COUNTIF(#REF!,7)+COUNTIF(#REF!,7)+COUNTIF($V$5:$V$10,7)</f>
        <v>#REF!</v>
      </c>
      <c r="I23" s="113" t="e">
        <f t="shared" si="3"/>
        <v>#REF!</v>
      </c>
      <c r="J23" s="118"/>
      <c r="K23" s="158"/>
      <c r="L23" s="85">
        <v>7</v>
      </c>
      <c r="M23" s="298" t="s">
        <v>158</v>
      </c>
      <c r="N23" s="299"/>
      <c r="O23" s="300"/>
      <c r="P23" s="114" t="e">
        <f>I11</f>
        <v>#REF!</v>
      </c>
      <c r="Q23" s="113" t="e">
        <f t="shared" si="4"/>
        <v>#REF!</v>
      </c>
      <c r="T23" s="117"/>
    </row>
    <row r="24" spans="3:20" s="115" customFormat="1" ht="18" customHeight="1" x14ac:dyDescent="0.2">
      <c r="C24" s="112">
        <v>8</v>
      </c>
      <c r="D24" s="298" t="s">
        <v>159</v>
      </c>
      <c r="E24" s="299"/>
      <c r="F24" s="299"/>
      <c r="G24" s="300"/>
      <c r="H24" s="114" t="e">
        <f>COUNTIF(#REF!,8)+COUNTIF(#REF!,8)+COUNTIF(#REF!,8)+COUNTIF(#REF!,8)+COUNTIF($V$5:$V$10,8)</f>
        <v>#REF!</v>
      </c>
      <c r="I24" s="113" t="e">
        <f t="shared" si="3"/>
        <v>#REF!</v>
      </c>
      <c r="J24" s="118"/>
      <c r="K24" s="158"/>
      <c r="L24" s="85">
        <v>8</v>
      </c>
      <c r="M24" s="298" t="s">
        <v>160</v>
      </c>
      <c r="N24" s="299"/>
      <c r="O24" s="300"/>
      <c r="P24" s="114" t="e">
        <f>J11</f>
        <v>#REF!</v>
      </c>
      <c r="Q24" s="113" t="e">
        <f t="shared" si="4"/>
        <v>#REF!</v>
      </c>
      <c r="T24" s="117"/>
    </row>
    <row r="25" spans="3:20" s="115" customFormat="1" ht="18" customHeight="1" x14ac:dyDescent="0.2">
      <c r="C25" s="112">
        <v>9</v>
      </c>
      <c r="D25" s="298" t="s">
        <v>161</v>
      </c>
      <c r="E25" s="299"/>
      <c r="F25" s="299"/>
      <c r="G25" s="300"/>
      <c r="H25" s="114" t="e">
        <f>COUNTIF(#REF!,9)+COUNTIF(#REF!,9)+COUNTIF(#REF!,9)+COUNTIF(#REF!,9)+COUNTIF($V$5:$V$10,9)</f>
        <v>#REF!</v>
      </c>
      <c r="I25" s="113" t="e">
        <f t="shared" si="3"/>
        <v>#REF!</v>
      </c>
      <c r="J25" s="116"/>
      <c r="K25" s="158"/>
      <c r="L25" s="85">
        <v>9</v>
      </c>
      <c r="M25" s="298" t="s">
        <v>162</v>
      </c>
      <c r="N25" s="299"/>
      <c r="O25" s="300"/>
      <c r="P25" s="114" t="e">
        <f>K11</f>
        <v>#REF!</v>
      </c>
      <c r="Q25" s="113" t="e">
        <f t="shared" si="4"/>
        <v>#REF!</v>
      </c>
      <c r="T25" s="117"/>
    </row>
    <row r="26" spans="3:20" s="115" customFormat="1" ht="18" customHeight="1" x14ac:dyDescent="0.2">
      <c r="C26" s="112">
        <v>10</v>
      </c>
      <c r="D26" s="298" t="s">
        <v>163</v>
      </c>
      <c r="E26" s="299"/>
      <c r="F26" s="299"/>
      <c r="G26" s="300"/>
      <c r="H26" s="114" t="e">
        <f>COUNTIF(#REF!,10)+COUNTIF(#REF!,10)+COUNTIF(#REF!,10)+COUNTIF(#REF!,10)+COUNTIF($V$5:$V$10,10)</f>
        <v>#REF!</v>
      </c>
      <c r="I26" s="113" t="e">
        <f t="shared" si="3"/>
        <v>#REF!</v>
      </c>
      <c r="J26" s="116"/>
      <c r="K26" s="158"/>
      <c r="L26" s="85">
        <v>10</v>
      </c>
      <c r="M26" s="298" t="s">
        <v>164</v>
      </c>
      <c r="N26" s="299"/>
      <c r="O26" s="300"/>
      <c r="P26" s="114" t="e">
        <f>L11</f>
        <v>#REF!</v>
      </c>
      <c r="Q26" s="113" t="e">
        <f t="shared" si="4"/>
        <v>#REF!</v>
      </c>
      <c r="T26" s="117"/>
    </row>
    <row r="27" spans="3:20" s="115" customFormat="1" ht="18" customHeight="1" x14ac:dyDescent="0.2">
      <c r="C27" s="112">
        <v>11</v>
      </c>
      <c r="D27" s="298" t="s">
        <v>165</v>
      </c>
      <c r="E27" s="299"/>
      <c r="F27" s="299"/>
      <c r="G27" s="300"/>
      <c r="H27" s="114" t="e">
        <f>COUNTIF(#REF!,11)+COUNTIF(#REF!,11)+COUNTIF(#REF!,11)+COUNTIF(#REF!,11)+COUNTIF($V$5:$V$10,11)</f>
        <v>#REF!</v>
      </c>
      <c r="I27" s="113" t="e">
        <f t="shared" si="3"/>
        <v>#REF!</v>
      </c>
      <c r="J27" s="116"/>
      <c r="K27" s="158"/>
      <c r="L27" s="85">
        <v>11</v>
      </c>
      <c r="M27" s="298" t="s">
        <v>166</v>
      </c>
      <c r="N27" s="299"/>
      <c r="O27" s="300"/>
      <c r="P27" s="114" t="e">
        <f>M11</f>
        <v>#REF!</v>
      </c>
      <c r="Q27" s="113" t="e">
        <f t="shared" si="4"/>
        <v>#REF!</v>
      </c>
      <c r="T27" s="117"/>
    </row>
    <row r="28" spans="3:20" s="115" customFormat="1" ht="18" customHeight="1" x14ac:dyDescent="0.2">
      <c r="C28" s="112">
        <v>12</v>
      </c>
      <c r="D28" s="298" t="s">
        <v>167</v>
      </c>
      <c r="E28" s="299"/>
      <c r="F28" s="299"/>
      <c r="G28" s="300"/>
      <c r="H28" s="114" t="e">
        <f>COUNTIF(#REF!,12)+COUNTIF(#REF!,12)+COUNTIF(#REF!,12)+COUNTIF(#REF!,12)+COUNTIF($V$5:$V$10,12)</f>
        <v>#REF!</v>
      </c>
      <c r="I28" s="113" t="e">
        <f t="shared" si="3"/>
        <v>#REF!</v>
      </c>
      <c r="J28" s="116"/>
      <c r="K28" s="158"/>
      <c r="L28" s="85">
        <v>12</v>
      </c>
      <c r="M28" s="298" t="s">
        <v>168</v>
      </c>
      <c r="N28" s="299"/>
      <c r="O28" s="300"/>
      <c r="P28" s="114" t="e">
        <f>N11</f>
        <v>#REF!</v>
      </c>
      <c r="Q28" s="113" t="e">
        <f t="shared" si="4"/>
        <v>#REF!</v>
      </c>
      <c r="T28" s="117"/>
    </row>
    <row r="29" spans="3:20" s="115" customFormat="1" ht="18" customHeight="1" x14ac:dyDescent="0.2">
      <c r="C29" s="112">
        <v>13</v>
      </c>
      <c r="D29" s="298" t="s">
        <v>169</v>
      </c>
      <c r="E29" s="299"/>
      <c r="F29" s="299"/>
      <c r="G29" s="300"/>
      <c r="H29" s="114" t="e">
        <f>COUNTIF(#REF!,13)+COUNTIF(#REF!,13)+COUNTIF(#REF!,13)+COUNTIF(#REF!,13)+COUNTIF($V$5:$V$10,13)</f>
        <v>#REF!</v>
      </c>
      <c r="I29" s="113" t="e">
        <f t="shared" si="3"/>
        <v>#REF!</v>
      </c>
      <c r="J29" s="116"/>
      <c r="K29" s="158"/>
      <c r="L29" s="85">
        <v>13</v>
      </c>
      <c r="M29" s="298" t="s">
        <v>170</v>
      </c>
      <c r="N29" s="299"/>
      <c r="O29" s="300"/>
      <c r="P29" s="114" t="e">
        <f>O11</f>
        <v>#REF!</v>
      </c>
      <c r="Q29" s="113" t="e">
        <f t="shared" si="4"/>
        <v>#REF!</v>
      </c>
      <c r="T29" s="117"/>
    </row>
    <row r="30" spans="3:20" s="115" customFormat="1" ht="18" customHeight="1" x14ac:dyDescent="0.2">
      <c r="C30" s="112">
        <v>14</v>
      </c>
      <c r="D30" s="298" t="s">
        <v>171</v>
      </c>
      <c r="E30" s="299"/>
      <c r="F30" s="299"/>
      <c r="G30" s="300"/>
      <c r="H30" s="114" t="e">
        <f>COUNTIF(#REF!,14)+COUNTIF(#REF!,14)+COUNTIF(#REF!,14)+COUNTIF(#REF!,14)+COUNTIF($V$5:$V$10,14)</f>
        <v>#REF!</v>
      </c>
      <c r="I30" s="113" t="e">
        <f t="shared" si="3"/>
        <v>#REF!</v>
      </c>
      <c r="J30" s="116"/>
      <c r="K30" s="158"/>
      <c r="L30" s="85">
        <v>14</v>
      </c>
      <c r="M30" s="298" t="s">
        <v>172</v>
      </c>
      <c r="N30" s="299"/>
      <c r="O30" s="300"/>
      <c r="P30" s="114" t="e">
        <f>P11</f>
        <v>#REF!</v>
      </c>
      <c r="Q30" s="113" t="e">
        <f t="shared" si="4"/>
        <v>#REF!</v>
      </c>
      <c r="T30" s="117"/>
    </row>
    <row r="31" spans="3:20" s="115" customFormat="1" ht="18" customHeight="1" x14ac:dyDescent="0.2">
      <c r="C31" s="112">
        <v>15</v>
      </c>
      <c r="D31" s="298" t="s">
        <v>173</v>
      </c>
      <c r="E31" s="299"/>
      <c r="F31" s="299"/>
      <c r="G31" s="300"/>
      <c r="H31" s="114">
        <f>COUNTIF($V$5:$V$10,15)</f>
        <v>2</v>
      </c>
      <c r="I31" s="113" t="e">
        <f t="shared" si="3"/>
        <v>#REF!</v>
      </c>
      <c r="J31" s="157"/>
      <c r="K31" s="158"/>
      <c r="L31" s="85">
        <v>15</v>
      </c>
      <c r="M31" s="298" t="s">
        <v>174</v>
      </c>
      <c r="N31" s="299"/>
      <c r="O31" s="300"/>
      <c r="P31" s="114" t="e">
        <f>Q11</f>
        <v>#REF!</v>
      </c>
      <c r="Q31" s="113" t="e">
        <f t="shared" si="4"/>
        <v>#REF!</v>
      </c>
      <c r="T31" s="117"/>
    </row>
    <row r="32" spans="3:20" s="115" customFormat="1" ht="18" customHeight="1" x14ac:dyDescent="0.2">
      <c r="C32" s="112">
        <v>16</v>
      </c>
      <c r="D32" s="298" t="s">
        <v>175</v>
      </c>
      <c r="E32" s="299"/>
      <c r="F32" s="299"/>
      <c r="G32" s="300"/>
      <c r="H32" s="114">
        <f>COUNTIF($V$5:$V$10,16)</f>
        <v>0</v>
      </c>
      <c r="I32" s="113" t="e">
        <f t="shared" si="3"/>
        <v>#REF!</v>
      </c>
      <c r="J32" s="116"/>
      <c r="K32" s="158"/>
      <c r="L32" s="85">
        <v>16</v>
      </c>
      <c r="M32" s="298" t="s">
        <v>176</v>
      </c>
      <c r="N32" s="299"/>
      <c r="O32" s="300"/>
      <c r="P32" s="114" t="e">
        <f>R11</f>
        <v>#REF!</v>
      </c>
      <c r="Q32" s="113" t="e">
        <f t="shared" si="4"/>
        <v>#REF!</v>
      </c>
      <c r="T32" s="117"/>
    </row>
    <row r="33" spans="3:20" s="115" customFormat="1" ht="18" customHeight="1" x14ac:dyDescent="0.2">
      <c r="C33" s="112">
        <v>17</v>
      </c>
      <c r="D33" s="298" t="s">
        <v>177</v>
      </c>
      <c r="E33" s="299"/>
      <c r="F33" s="299"/>
      <c r="G33" s="300"/>
      <c r="H33" s="114">
        <f>COUNTIF($V$5:$V$10,17)</f>
        <v>0</v>
      </c>
      <c r="I33" s="113" t="e">
        <f t="shared" si="3"/>
        <v>#REF!</v>
      </c>
      <c r="J33" s="157"/>
      <c r="K33" s="158"/>
      <c r="L33" s="85">
        <v>17</v>
      </c>
      <c r="M33" s="298" t="s">
        <v>178</v>
      </c>
      <c r="N33" s="299"/>
      <c r="O33" s="300"/>
      <c r="P33" s="114" t="e">
        <f>S11</f>
        <v>#REF!</v>
      </c>
      <c r="Q33" s="113" t="e">
        <f t="shared" si="4"/>
        <v>#REF!</v>
      </c>
      <c r="T33" s="117"/>
    </row>
    <row r="34" spans="3:20" s="115" customFormat="1" ht="18" customHeight="1" x14ac:dyDescent="0.2">
      <c r="C34" s="112">
        <v>18</v>
      </c>
      <c r="D34" s="298" t="s">
        <v>179</v>
      </c>
      <c r="E34" s="299"/>
      <c r="F34" s="299"/>
      <c r="G34" s="300"/>
      <c r="H34" s="114">
        <f>COUNTIF($V$5:$V$10,18)</f>
        <v>0</v>
      </c>
      <c r="I34" s="113" t="e">
        <f t="shared" si="3"/>
        <v>#REF!</v>
      </c>
      <c r="J34" s="116"/>
      <c r="K34" s="158"/>
      <c r="L34" s="85">
        <v>18</v>
      </c>
      <c r="M34" s="298" t="s">
        <v>180</v>
      </c>
      <c r="N34" s="299"/>
      <c r="O34" s="300"/>
      <c r="P34" s="85" t="e">
        <f>T11</f>
        <v>#REF!</v>
      </c>
      <c r="Q34" s="113" t="e">
        <f t="shared" si="4"/>
        <v>#REF!</v>
      </c>
      <c r="T34" s="117"/>
    </row>
    <row r="35" spans="3:20" s="115" customFormat="1" ht="18" customHeight="1" x14ac:dyDescent="0.2">
      <c r="C35" s="112">
        <v>19</v>
      </c>
      <c r="D35" s="298" t="s">
        <v>181</v>
      </c>
      <c r="E35" s="299"/>
      <c r="F35" s="299"/>
      <c r="G35" s="300"/>
      <c r="H35" s="114" t="e">
        <f>COUNTIF(#REF!,19)+COUNTIF(#REF!,19)+COUNTIF(#REF!,19)+COUNTIF(#REF!,19)+COUNTIF($V$5:$V$10,19)</f>
        <v>#REF!</v>
      </c>
      <c r="I35" s="113" t="e">
        <f t="shared" si="3"/>
        <v>#REF!</v>
      </c>
      <c r="J35" s="116"/>
      <c r="K35" s="158"/>
      <c r="L35" s="85">
        <v>19</v>
      </c>
      <c r="M35" s="298" t="s">
        <v>182</v>
      </c>
      <c r="N35" s="299"/>
      <c r="O35" s="300"/>
      <c r="P35" s="85" t="e">
        <f>U11</f>
        <v>#REF!</v>
      </c>
      <c r="Q35" s="113" t="e">
        <f t="shared" si="4"/>
        <v>#REF!</v>
      </c>
      <c r="T35" s="117"/>
    </row>
    <row r="36" spans="3:20" s="115" customFormat="1" ht="18" customHeight="1" x14ac:dyDescent="0.2">
      <c r="C36" s="301" t="s">
        <v>98</v>
      </c>
      <c r="D36" s="302"/>
      <c r="E36" s="302"/>
      <c r="F36" s="302"/>
      <c r="G36" s="303"/>
      <c r="H36" s="119" t="e">
        <f>SUM(H17:H35)</f>
        <v>#REF!</v>
      </c>
      <c r="I36" s="120">
        <v>100</v>
      </c>
      <c r="J36" s="116"/>
      <c r="L36" s="121"/>
      <c r="M36" s="122"/>
      <c r="N36" s="122"/>
      <c r="O36" s="121"/>
      <c r="P36" s="123"/>
      <c r="Q36" s="124"/>
      <c r="T36" s="117"/>
    </row>
    <row r="37" spans="3:20" x14ac:dyDescent="0.2">
      <c r="L37" s="125"/>
    </row>
    <row r="38" spans="3:20" x14ac:dyDescent="0.2">
      <c r="L38" s="125"/>
      <c r="M38" s="127"/>
    </row>
    <row r="39" spans="3:20" x14ac:dyDescent="0.2">
      <c r="L39" s="125"/>
      <c r="M39" s="127"/>
    </row>
    <row r="40" spans="3:20" x14ac:dyDescent="0.2">
      <c r="K40" s="147"/>
      <c r="L40" s="128"/>
      <c r="M40" s="129"/>
      <c r="N40" s="130"/>
      <c r="O40" s="99"/>
      <c r="P40" s="99"/>
      <c r="Q40" s="99"/>
    </row>
    <row r="41" spans="3:20" s="99" customFormat="1" x14ac:dyDescent="0.2">
      <c r="J41" s="104"/>
      <c r="K41" s="147"/>
      <c r="L41" s="128"/>
      <c r="M41" s="129"/>
      <c r="N41" s="130"/>
    </row>
    <row r="42" spans="3:20" s="99" customFormat="1" x14ac:dyDescent="0.2">
      <c r="I42" s="161">
        <f>'Can Gio'!H31+'Bình chánh'!J39+'Hoc Mon'!J35+'Cu Chi'!J46</f>
        <v>36</v>
      </c>
      <c r="J42" s="104"/>
      <c r="K42" s="147"/>
      <c r="L42" s="125"/>
      <c r="M42" s="127"/>
      <c r="N42" s="126"/>
      <c r="O42" s="48"/>
      <c r="P42" s="48"/>
      <c r="Q42" s="48"/>
    </row>
    <row r="43" spans="3:20" x14ac:dyDescent="0.2">
      <c r="L43" s="125"/>
      <c r="M43" s="127"/>
    </row>
    <row r="44" spans="3:20" x14ac:dyDescent="0.2">
      <c r="L44" s="125"/>
      <c r="M44" s="127"/>
    </row>
    <row r="45" spans="3:20" x14ac:dyDescent="0.2">
      <c r="L45" s="125"/>
    </row>
    <row r="46" spans="3:20" x14ac:dyDescent="0.2">
      <c r="L46" s="128"/>
      <c r="M46" s="130"/>
      <c r="N46" s="130"/>
      <c r="O46" s="99"/>
      <c r="P46" s="99"/>
      <c r="Q46" s="99"/>
    </row>
    <row r="47" spans="3:20" s="99" customFormat="1" x14ac:dyDescent="0.2">
      <c r="J47" s="104"/>
      <c r="L47" s="128"/>
      <c r="M47" s="130"/>
      <c r="N47" s="130"/>
    </row>
    <row r="48" spans="3:20" s="99" customFormat="1" x14ac:dyDescent="0.2">
      <c r="J48" s="104"/>
      <c r="L48" s="125"/>
      <c r="M48" s="126"/>
      <c r="N48" s="126"/>
      <c r="O48" s="48"/>
      <c r="P48" s="48"/>
      <c r="Q48" s="48"/>
    </row>
    <row r="49" spans="12:12" x14ac:dyDescent="0.2">
      <c r="L49" s="125"/>
    </row>
  </sheetData>
  <mergeCells count="51">
    <mergeCell ref="A1:V1"/>
    <mergeCell ref="A4:B4"/>
    <mergeCell ref="A11:B11"/>
    <mergeCell ref="A12:B12"/>
    <mergeCell ref="A13:V13"/>
    <mergeCell ref="C15:C16"/>
    <mergeCell ref="D15:G16"/>
    <mergeCell ref="H15:I15"/>
    <mergeCell ref="K15:K16"/>
    <mergeCell ref="L15:L16"/>
    <mergeCell ref="M15:O16"/>
    <mergeCell ref="P15:Q15"/>
    <mergeCell ref="D17:G17"/>
    <mergeCell ref="M17:O17"/>
    <mergeCell ref="D18:G18"/>
    <mergeCell ref="M18:O18"/>
    <mergeCell ref="D19:G19"/>
    <mergeCell ref="M19:O19"/>
    <mergeCell ref="D20:G20"/>
    <mergeCell ref="M20:O20"/>
    <mergeCell ref="D21:G21"/>
    <mergeCell ref="M21:O21"/>
    <mergeCell ref="D22:G22"/>
    <mergeCell ref="M22:O22"/>
    <mergeCell ref="D23:G23"/>
    <mergeCell ref="M23:O23"/>
    <mergeCell ref="D24:G24"/>
    <mergeCell ref="M24:O24"/>
    <mergeCell ref="D25:G25"/>
    <mergeCell ref="M25:O25"/>
    <mergeCell ref="D26:G26"/>
    <mergeCell ref="M26:O26"/>
    <mergeCell ref="D27:G27"/>
    <mergeCell ref="M27:O27"/>
    <mergeCell ref="D28:G28"/>
    <mergeCell ref="M28:O28"/>
    <mergeCell ref="D29:G29"/>
    <mergeCell ref="M29:O29"/>
    <mergeCell ref="D30:G30"/>
    <mergeCell ref="M30:O30"/>
    <mergeCell ref="D31:G31"/>
    <mergeCell ref="M31:O31"/>
    <mergeCell ref="D35:G35"/>
    <mergeCell ref="M35:O35"/>
    <mergeCell ref="C36:G36"/>
    <mergeCell ref="D32:G32"/>
    <mergeCell ref="M32:O32"/>
    <mergeCell ref="D33:G33"/>
    <mergeCell ref="M33:O33"/>
    <mergeCell ref="D34:G34"/>
    <mergeCell ref="M34:O34"/>
  </mergeCells>
  <printOptions horizontalCentered="1"/>
  <pageMargins left="0.15748031496062992" right="0.15748031496062992" top="0.64" bottom="0.47" header="0.15748031496062992" footer="0.15748031496062992"/>
  <pageSetup paperSize="9" scale="81" fitToHeight="3"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3"/>
  <sheetViews>
    <sheetView zoomScaleNormal="100" workbookViewId="0">
      <pane xSplit="2" ySplit="4" topLeftCell="I5" activePane="bottomRight" state="frozen"/>
      <selection pane="topRight" activeCell="C1" sqref="C1"/>
      <selection pane="bottomLeft" activeCell="A5" sqref="A5"/>
      <selection pane="bottomRight" activeCell="W40" sqref="W40"/>
    </sheetView>
  </sheetViews>
  <sheetFormatPr defaultRowHeight="12.75" x14ac:dyDescent="0.2"/>
  <cols>
    <col min="1" max="1" width="3.5703125" style="48" bestFit="1" customWidth="1"/>
    <col min="2" max="2" width="21.140625" style="48" customWidth="1"/>
    <col min="3" max="3" width="8.5703125" style="48" customWidth="1"/>
    <col min="4" max="4" width="7.85546875" style="48" customWidth="1"/>
    <col min="5" max="5" width="7.140625" style="48" customWidth="1"/>
    <col min="6" max="6" width="8.85546875" style="48" bestFit="1" customWidth="1"/>
    <col min="7" max="7" width="7.42578125" style="48" customWidth="1"/>
    <col min="8" max="8" width="8.5703125" style="48" customWidth="1"/>
    <col min="9" max="9" width="8.28515625" style="48" customWidth="1"/>
    <col min="10" max="10" width="7.85546875" style="102" customWidth="1"/>
    <col min="11" max="11" width="7.7109375" style="48" bestFit="1" customWidth="1"/>
    <col min="12" max="12" width="9" style="48" customWidth="1"/>
    <col min="13" max="13" width="7.7109375" style="126" bestFit="1" customWidth="1"/>
    <col min="14" max="14" width="8.42578125" style="126" customWidth="1"/>
    <col min="15" max="16" width="7.5703125" style="48" customWidth="1"/>
    <col min="17" max="17" width="9" style="48" customWidth="1"/>
    <col min="18" max="18" width="7.7109375" style="48" bestFit="1" customWidth="1"/>
    <col min="19" max="19" width="8.140625" style="48" customWidth="1"/>
    <col min="20" max="21" width="7.7109375" style="48" customWidth="1"/>
    <col min="22" max="22" width="7.140625" style="48" customWidth="1"/>
    <col min="23" max="23" width="9.140625" style="48"/>
    <col min="24" max="24" width="9.85546875" style="48" bestFit="1" customWidth="1"/>
    <col min="25" max="16384" width="9.140625" style="48"/>
  </cols>
  <sheetData>
    <row r="1" spans="1:25" ht="35.25" customHeight="1" x14ac:dyDescent="0.2">
      <c r="A1" s="308" t="s">
        <v>140</v>
      </c>
      <c r="B1" s="308"/>
      <c r="C1" s="308"/>
      <c r="D1" s="308"/>
      <c r="E1" s="308"/>
      <c r="F1" s="308"/>
      <c r="G1" s="308"/>
      <c r="H1" s="308"/>
      <c r="I1" s="308"/>
      <c r="J1" s="308"/>
      <c r="K1" s="308"/>
      <c r="L1" s="308"/>
      <c r="M1" s="308"/>
      <c r="N1" s="308"/>
      <c r="O1" s="308"/>
      <c r="P1" s="308"/>
      <c r="Q1" s="308"/>
      <c r="R1" s="308"/>
      <c r="S1" s="308"/>
      <c r="T1" s="308"/>
      <c r="U1" s="308"/>
      <c r="V1" s="308"/>
    </row>
    <row r="2" spans="1:25" s="94" customFormat="1" ht="83.25" customHeight="1" x14ac:dyDescent="0.2">
      <c r="A2" s="91" t="s">
        <v>76</v>
      </c>
      <c r="B2" s="131" t="s">
        <v>137</v>
      </c>
      <c r="C2" s="4" t="s">
        <v>0</v>
      </c>
      <c r="D2" s="4" t="s">
        <v>1</v>
      </c>
      <c r="E2" s="4" t="s">
        <v>2</v>
      </c>
      <c r="F2" s="91" t="s">
        <v>3</v>
      </c>
      <c r="G2" s="4" t="s">
        <v>4</v>
      </c>
      <c r="H2" s="4" t="s">
        <v>5</v>
      </c>
      <c r="I2" s="4" t="s">
        <v>101</v>
      </c>
      <c r="J2" s="92" t="s">
        <v>100</v>
      </c>
      <c r="K2" s="4" t="s">
        <v>6</v>
      </c>
      <c r="L2" s="4" t="s">
        <v>187</v>
      </c>
      <c r="M2" s="4" t="s">
        <v>8</v>
      </c>
      <c r="N2" s="4" t="s">
        <v>102</v>
      </c>
      <c r="O2" s="4" t="s">
        <v>141</v>
      </c>
      <c r="P2" s="4" t="s">
        <v>104</v>
      </c>
      <c r="Q2" s="4" t="s">
        <v>188</v>
      </c>
      <c r="R2" s="4" t="s">
        <v>10</v>
      </c>
      <c r="S2" s="4" t="s">
        <v>105</v>
      </c>
      <c r="T2" s="4" t="s">
        <v>106</v>
      </c>
      <c r="U2" s="4" t="s">
        <v>107</v>
      </c>
      <c r="V2" s="4" t="s">
        <v>138</v>
      </c>
    </row>
    <row r="3" spans="1:25" s="97" customFormat="1" ht="8.25" customHeight="1" x14ac:dyDescent="0.2">
      <c r="A3" s="95"/>
      <c r="B3" s="96"/>
      <c r="C3" s="139">
        <v>1</v>
      </c>
      <c r="D3" s="139">
        <v>2</v>
      </c>
      <c r="E3" s="139">
        <v>3</v>
      </c>
      <c r="F3" s="139">
        <v>4</v>
      </c>
      <c r="G3" s="139">
        <v>5</v>
      </c>
      <c r="H3" s="139">
        <v>6</v>
      </c>
      <c r="I3" s="139">
        <v>7</v>
      </c>
      <c r="J3" s="140">
        <v>8</v>
      </c>
      <c r="K3" s="139">
        <v>9</v>
      </c>
      <c r="L3" s="139">
        <v>10</v>
      </c>
      <c r="M3" s="140">
        <v>11</v>
      </c>
      <c r="N3" s="140">
        <v>12</v>
      </c>
      <c r="O3" s="139">
        <v>13</v>
      </c>
      <c r="P3" s="139">
        <v>14</v>
      </c>
      <c r="Q3" s="139">
        <v>15</v>
      </c>
      <c r="R3" s="139">
        <v>16</v>
      </c>
      <c r="S3" s="139">
        <v>17</v>
      </c>
      <c r="T3" s="139">
        <v>18</v>
      </c>
      <c r="U3" s="139">
        <v>19</v>
      </c>
      <c r="V3" s="139">
        <v>20</v>
      </c>
    </row>
    <row r="4" spans="1:25" s="99" customFormat="1" x14ac:dyDescent="0.2">
      <c r="A4" s="309" t="s">
        <v>13</v>
      </c>
      <c r="B4" s="310"/>
      <c r="C4" s="167">
        <f t="shared" ref="C4:U4" si="0">COUNTIF(C5:C24,"X")</f>
        <v>20</v>
      </c>
      <c r="D4" s="167">
        <f t="shared" si="0"/>
        <v>20</v>
      </c>
      <c r="E4" s="167">
        <f t="shared" si="0"/>
        <v>20</v>
      </c>
      <c r="F4" s="167">
        <f t="shared" si="0"/>
        <v>20</v>
      </c>
      <c r="G4" s="167">
        <f t="shared" si="0"/>
        <v>11</v>
      </c>
      <c r="H4" s="167">
        <f t="shared" si="0"/>
        <v>19</v>
      </c>
      <c r="I4" s="167">
        <f t="shared" si="0"/>
        <v>20</v>
      </c>
      <c r="J4" s="167">
        <f t="shared" si="0"/>
        <v>20</v>
      </c>
      <c r="K4" s="167">
        <f t="shared" si="0"/>
        <v>20</v>
      </c>
      <c r="L4" s="167">
        <f t="shared" si="0"/>
        <v>5</v>
      </c>
      <c r="M4" s="167">
        <f t="shared" si="0"/>
        <v>19</v>
      </c>
      <c r="N4" s="167">
        <f t="shared" si="0"/>
        <v>20</v>
      </c>
      <c r="O4" s="167">
        <f t="shared" si="0"/>
        <v>15</v>
      </c>
      <c r="P4" s="167">
        <f t="shared" si="0"/>
        <v>20</v>
      </c>
      <c r="Q4" s="167">
        <f t="shared" si="0"/>
        <v>7</v>
      </c>
      <c r="R4" s="167">
        <f t="shared" si="0"/>
        <v>20</v>
      </c>
      <c r="S4" s="167">
        <f t="shared" si="0"/>
        <v>10</v>
      </c>
      <c r="T4" s="167">
        <f t="shared" si="0"/>
        <v>19</v>
      </c>
      <c r="U4" s="167">
        <f t="shared" si="0"/>
        <v>20</v>
      </c>
      <c r="V4" s="154">
        <f>AVERAGE(V5:V24)</f>
        <v>16.25</v>
      </c>
    </row>
    <row r="5" spans="1:25" s="102" customFormat="1" x14ac:dyDescent="0.2">
      <c r="A5" s="98">
        <v>1</v>
      </c>
      <c r="B5" s="148" t="s">
        <v>14</v>
      </c>
      <c r="C5" s="149" t="s">
        <v>99</v>
      </c>
      <c r="D5" s="149" t="s">
        <v>99</v>
      </c>
      <c r="E5" s="149" t="s">
        <v>99</v>
      </c>
      <c r="F5" s="149" t="s">
        <v>99</v>
      </c>
      <c r="G5" s="149"/>
      <c r="H5" s="149" t="s">
        <v>99</v>
      </c>
      <c r="I5" s="149" t="s">
        <v>99</v>
      </c>
      <c r="J5" s="149" t="s">
        <v>99</v>
      </c>
      <c r="K5" s="149" t="s">
        <v>99</v>
      </c>
      <c r="L5" s="132"/>
      <c r="M5" s="149" t="s">
        <v>99</v>
      </c>
      <c r="N5" s="149" t="s">
        <v>99</v>
      </c>
      <c r="O5" s="149" t="s">
        <v>99</v>
      </c>
      <c r="P5" s="132" t="s">
        <v>99</v>
      </c>
      <c r="Q5" s="149"/>
      <c r="R5" s="149" t="s">
        <v>99</v>
      </c>
      <c r="S5" s="149"/>
      <c r="T5" s="149" t="s">
        <v>99</v>
      </c>
      <c r="U5" s="149" t="s">
        <v>99</v>
      </c>
      <c r="V5" s="138">
        <f t="shared" ref="V5:V24" si="1">COUNTIF(C5:U5,"X")</f>
        <v>15</v>
      </c>
    </row>
    <row r="6" spans="1:25" s="102" customFormat="1" x14ac:dyDescent="0.2">
      <c r="A6" s="98">
        <v>2</v>
      </c>
      <c r="B6" s="148" t="s">
        <v>25</v>
      </c>
      <c r="C6" s="149" t="s">
        <v>99</v>
      </c>
      <c r="D6" s="149" t="s">
        <v>99</v>
      </c>
      <c r="E6" s="149" t="s">
        <v>99</v>
      </c>
      <c r="F6" s="149" t="s">
        <v>99</v>
      </c>
      <c r="G6" s="149"/>
      <c r="H6" s="149" t="s">
        <v>99</v>
      </c>
      <c r="I6" s="149" t="s">
        <v>99</v>
      </c>
      <c r="J6" s="132" t="s">
        <v>99</v>
      </c>
      <c r="K6" s="149" t="s">
        <v>99</v>
      </c>
      <c r="L6" s="132"/>
      <c r="M6" s="149" t="s">
        <v>99</v>
      </c>
      <c r="N6" s="149" t="s">
        <v>99</v>
      </c>
      <c r="O6" s="149" t="s">
        <v>99</v>
      </c>
      <c r="P6" s="132" t="s">
        <v>99</v>
      </c>
      <c r="Q6" s="149"/>
      <c r="R6" s="149" t="s">
        <v>99</v>
      </c>
      <c r="S6" s="149"/>
      <c r="T6" s="149" t="s">
        <v>99</v>
      </c>
      <c r="U6" s="149" t="s">
        <v>99</v>
      </c>
      <c r="V6" s="138">
        <f t="shared" si="1"/>
        <v>15</v>
      </c>
    </row>
    <row r="7" spans="1:25" s="102" customFormat="1" x14ac:dyDescent="0.2">
      <c r="A7" s="98">
        <v>3</v>
      </c>
      <c r="B7" s="148" t="s">
        <v>22</v>
      </c>
      <c r="C7" s="149" t="s">
        <v>99</v>
      </c>
      <c r="D7" s="149" t="s">
        <v>99</v>
      </c>
      <c r="E7" s="149" t="s">
        <v>99</v>
      </c>
      <c r="F7" s="149" t="s">
        <v>99</v>
      </c>
      <c r="G7" s="149"/>
      <c r="H7" s="149" t="s">
        <v>99</v>
      </c>
      <c r="I7" s="149" t="s">
        <v>99</v>
      </c>
      <c r="J7" s="149" t="s">
        <v>99</v>
      </c>
      <c r="K7" s="149" t="s">
        <v>99</v>
      </c>
      <c r="L7" s="132"/>
      <c r="M7" s="149" t="s">
        <v>99</v>
      </c>
      <c r="N7" s="149" t="s">
        <v>99</v>
      </c>
      <c r="O7" s="149" t="s">
        <v>99</v>
      </c>
      <c r="P7" s="132" t="s">
        <v>99</v>
      </c>
      <c r="Q7" s="149"/>
      <c r="R7" s="149" t="s">
        <v>99</v>
      </c>
      <c r="S7" s="149"/>
      <c r="T7" s="149" t="s">
        <v>99</v>
      </c>
      <c r="U7" s="149" t="s">
        <v>99</v>
      </c>
      <c r="V7" s="138">
        <f t="shared" si="1"/>
        <v>15</v>
      </c>
    </row>
    <row r="8" spans="1:25" s="102" customFormat="1" x14ac:dyDescent="0.2">
      <c r="A8" s="98">
        <v>4</v>
      </c>
      <c r="B8" s="148" t="s">
        <v>26</v>
      </c>
      <c r="C8" s="149" t="s">
        <v>99</v>
      </c>
      <c r="D8" s="149" t="s">
        <v>99</v>
      </c>
      <c r="E8" s="149" t="s">
        <v>99</v>
      </c>
      <c r="F8" s="149" t="s">
        <v>99</v>
      </c>
      <c r="G8" s="149"/>
      <c r="H8" s="149" t="s">
        <v>99</v>
      </c>
      <c r="I8" s="149" t="s">
        <v>99</v>
      </c>
      <c r="J8" s="149" t="s">
        <v>99</v>
      </c>
      <c r="K8" s="149" t="s">
        <v>99</v>
      </c>
      <c r="L8" s="149" t="s">
        <v>99</v>
      </c>
      <c r="M8" s="149" t="s">
        <v>99</v>
      </c>
      <c r="N8" s="149" t="s">
        <v>99</v>
      </c>
      <c r="O8" s="149" t="s">
        <v>99</v>
      </c>
      <c r="P8" s="149" t="s">
        <v>99</v>
      </c>
      <c r="Q8" s="149" t="s">
        <v>99</v>
      </c>
      <c r="R8" s="149" t="s">
        <v>99</v>
      </c>
      <c r="S8" s="149"/>
      <c r="T8" s="149" t="s">
        <v>99</v>
      </c>
      <c r="U8" s="149" t="s">
        <v>99</v>
      </c>
      <c r="V8" s="138">
        <f t="shared" si="1"/>
        <v>17</v>
      </c>
      <c r="W8" s="102">
        <f>COUNTIF($V$5:$V$24,"16")</f>
        <v>5</v>
      </c>
      <c r="X8" s="102">
        <v>15</v>
      </c>
      <c r="Y8" s="102">
        <f>SUM(W8:W12)</f>
        <v>19</v>
      </c>
    </row>
    <row r="9" spans="1:25" s="102" customFormat="1" x14ac:dyDescent="0.2">
      <c r="A9" s="98">
        <v>5</v>
      </c>
      <c r="B9" s="148" t="s">
        <v>29</v>
      </c>
      <c r="C9" s="149" t="s">
        <v>99</v>
      </c>
      <c r="D9" s="149" t="s">
        <v>99</v>
      </c>
      <c r="E9" s="149" t="s">
        <v>99</v>
      </c>
      <c r="F9" s="149" t="s">
        <v>99</v>
      </c>
      <c r="G9" s="149" t="s">
        <v>99</v>
      </c>
      <c r="H9" s="149" t="s">
        <v>99</v>
      </c>
      <c r="I9" s="149" t="s">
        <v>99</v>
      </c>
      <c r="J9" s="149" t="s">
        <v>99</v>
      </c>
      <c r="K9" s="149" t="s">
        <v>99</v>
      </c>
      <c r="L9" s="149"/>
      <c r="M9" s="149" t="s">
        <v>99</v>
      </c>
      <c r="N9" s="149" t="s">
        <v>99</v>
      </c>
      <c r="O9" s="149"/>
      <c r="P9" s="149" t="s">
        <v>99</v>
      </c>
      <c r="Q9" s="149"/>
      <c r="R9" s="149" t="s">
        <v>99</v>
      </c>
      <c r="S9" s="149" t="s">
        <v>99</v>
      </c>
      <c r="T9" s="149" t="s">
        <v>99</v>
      </c>
      <c r="U9" s="149" t="s">
        <v>99</v>
      </c>
      <c r="V9" s="138">
        <f t="shared" si="1"/>
        <v>16</v>
      </c>
      <c r="W9" s="102">
        <f t="shared" ref="W9" si="2">COUNTIF($V$5:$V$24,"16")</f>
        <v>5</v>
      </c>
      <c r="X9" s="102">
        <v>16</v>
      </c>
    </row>
    <row r="10" spans="1:25" s="102" customFormat="1" x14ac:dyDescent="0.2">
      <c r="A10" s="98">
        <v>6</v>
      </c>
      <c r="B10" s="148" t="s">
        <v>32</v>
      </c>
      <c r="C10" s="149" t="s">
        <v>99</v>
      </c>
      <c r="D10" s="149" t="s">
        <v>99</v>
      </c>
      <c r="E10" s="149" t="s">
        <v>99</v>
      </c>
      <c r="F10" s="149" t="s">
        <v>99</v>
      </c>
      <c r="G10" s="149"/>
      <c r="H10" s="149" t="s">
        <v>99</v>
      </c>
      <c r="I10" s="149" t="s">
        <v>99</v>
      </c>
      <c r="J10" s="149" t="s">
        <v>99</v>
      </c>
      <c r="K10" s="149" t="s">
        <v>99</v>
      </c>
      <c r="L10" s="132"/>
      <c r="M10" s="149"/>
      <c r="N10" s="149" t="s">
        <v>99</v>
      </c>
      <c r="O10" s="149" t="s">
        <v>99</v>
      </c>
      <c r="P10" s="149" t="s">
        <v>99</v>
      </c>
      <c r="Q10" s="149"/>
      <c r="R10" s="149" t="s">
        <v>99</v>
      </c>
      <c r="S10" s="149" t="s">
        <v>99</v>
      </c>
      <c r="T10" s="149" t="s">
        <v>99</v>
      </c>
      <c r="U10" s="149" t="s">
        <v>99</v>
      </c>
      <c r="V10" s="138">
        <f t="shared" si="1"/>
        <v>15</v>
      </c>
      <c r="W10" s="102">
        <f>COUNTIF($V$5:$V$24,"17")</f>
        <v>6</v>
      </c>
      <c r="X10" s="102">
        <v>17</v>
      </c>
    </row>
    <row r="11" spans="1:25" s="102" customFormat="1" x14ac:dyDescent="0.2">
      <c r="A11" s="98">
        <v>7</v>
      </c>
      <c r="B11" s="148" t="s">
        <v>19</v>
      </c>
      <c r="C11" s="149" t="s">
        <v>99</v>
      </c>
      <c r="D11" s="149" t="s">
        <v>99</v>
      </c>
      <c r="E11" s="149" t="s">
        <v>99</v>
      </c>
      <c r="F11" s="149" t="s">
        <v>99</v>
      </c>
      <c r="G11" s="149"/>
      <c r="H11" s="149" t="s">
        <v>99</v>
      </c>
      <c r="I11" s="149" t="s">
        <v>99</v>
      </c>
      <c r="J11" s="132" t="s">
        <v>99</v>
      </c>
      <c r="K11" s="149" t="s">
        <v>99</v>
      </c>
      <c r="L11" s="132"/>
      <c r="M11" s="149" t="s">
        <v>99</v>
      </c>
      <c r="N11" s="149" t="s">
        <v>99</v>
      </c>
      <c r="O11" s="149" t="s">
        <v>99</v>
      </c>
      <c r="P11" s="149" t="s">
        <v>99</v>
      </c>
      <c r="Q11" s="149"/>
      <c r="R11" s="149" t="s">
        <v>99</v>
      </c>
      <c r="S11" s="149" t="s">
        <v>99</v>
      </c>
      <c r="T11" s="149" t="s">
        <v>99</v>
      </c>
      <c r="U11" s="149" t="s">
        <v>99</v>
      </c>
      <c r="V11" s="138">
        <f t="shared" si="1"/>
        <v>16</v>
      </c>
      <c r="W11" s="102">
        <f>COUNTIF($V$5:$V$24,"18")</f>
        <v>3</v>
      </c>
      <c r="X11" s="102">
        <v>18</v>
      </c>
    </row>
    <row r="12" spans="1:25" s="102" customFormat="1" x14ac:dyDescent="0.2">
      <c r="A12" s="98">
        <v>8</v>
      </c>
      <c r="B12" s="148" t="s">
        <v>17</v>
      </c>
      <c r="C12" s="149" t="s">
        <v>99</v>
      </c>
      <c r="D12" s="149" t="s">
        <v>99</v>
      </c>
      <c r="E12" s="149" t="s">
        <v>99</v>
      </c>
      <c r="F12" s="149" t="s">
        <v>99</v>
      </c>
      <c r="G12" s="149"/>
      <c r="H12" s="149" t="s">
        <v>99</v>
      </c>
      <c r="I12" s="149" t="s">
        <v>99</v>
      </c>
      <c r="J12" s="149" t="s">
        <v>99</v>
      </c>
      <c r="K12" s="149" t="s">
        <v>99</v>
      </c>
      <c r="L12" s="132"/>
      <c r="M12" s="149" t="s">
        <v>99</v>
      </c>
      <c r="N12" s="149" t="s">
        <v>99</v>
      </c>
      <c r="O12" s="149" t="s">
        <v>99</v>
      </c>
      <c r="P12" s="149" t="s">
        <v>99</v>
      </c>
      <c r="Q12" s="149" t="s">
        <v>99</v>
      </c>
      <c r="R12" s="149" t="s">
        <v>99</v>
      </c>
      <c r="S12" s="149" t="s">
        <v>99</v>
      </c>
      <c r="T12" s="149" t="s">
        <v>99</v>
      </c>
      <c r="U12" s="149" t="s">
        <v>99</v>
      </c>
      <c r="V12" s="138">
        <f t="shared" si="1"/>
        <v>17</v>
      </c>
      <c r="W12" s="102">
        <f>COUNTIF($V$5:$V$24,"19")</f>
        <v>0</v>
      </c>
      <c r="X12" s="102">
        <v>19</v>
      </c>
    </row>
    <row r="13" spans="1:25" s="102" customFormat="1" x14ac:dyDescent="0.2">
      <c r="A13" s="98">
        <v>9</v>
      </c>
      <c r="B13" s="148" t="s">
        <v>30</v>
      </c>
      <c r="C13" s="149" t="s">
        <v>99</v>
      </c>
      <c r="D13" s="149" t="s">
        <v>99</v>
      </c>
      <c r="E13" s="149" t="s">
        <v>99</v>
      </c>
      <c r="F13" s="149" t="s">
        <v>99</v>
      </c>
      <c r="G13" s="149" t="s">
        <v>99</v>
      </c>
      <c r="H13" s="149" t="s">
        <v>99</v>
      </c>
      <c r="I13" s="149" t="s">
        <v>99</v>
      </c>
      <c r="J13" s="149" t="s">
        <v>99</v>
      </c>
      <c r="K13" s="149" t="s">
        <v>99</v>
      </c>
      <c r="L13" s="132"/>
      <c r="M13" s="149" t="s">
        <v>99</v>
      </c>
      <c r="N13" s="149" t="s">
        <v>99</v>
      </c>
      <c r="O13" s="149" t="s">
        <v>99</v>
      </c>
      <c r="P13" s="149" t="s">
        <v>99</v>
      </c>
      <c r="Q13" s="149"/>
      <c r="R13" s="149" t="s">
        <v>99</v>
      </c>
      <c r="S13" s="149" t="s">
        <v>99</v>
      </c>
      <c r="T13" s="149" t="s">
        <v>99</v>
      </c>
      <c r="U13" s="149" t="s">
        <v>99</v>
      </c>
      <c r="V13" s="138">
        <f t="shared" si="1"/>
        <v>17</v>
      </c>
    </row>
    <row r="14" spans="1:25" s="102" customFormat="1" x14ac:dyDescent="0.2">
      <c r="A14" s="98">
        <v>10</v>
      </c>
      <c r="B14" s="148" t="s">
        <v>28</v>
      </c>
      <c r="C14" s="149" t="s">
        <v>99</v>
      </c>
      <c r="D14" s="149" t="s">
        <v>99</v>
      </c>
      <c r="E14" s="149" t="s">
        <v>99</v>
      </c>
      <c r="F14" s="149" t="s">
        <v>99</v>
      </c>
      <c r="G14" s="149" t="s">
        <v>99</v>
      </c>
      <c r="H14" s="149" t="s">
        <v>99</v>
      </c>
      <c r="I14" s="149" t="s">
        <v>99</v>
      </c>
      <c r="J14" s="149" t="s">
        <v>99</v>
      </c>
      <c r="K14" s="149" t="s">
        <v>99</v>
      </c>
      <c r="L14" s="132" t="s">
        <v>99</v>
      </c>
      <c r="M14" s="149" t="s">
        <v>99</v>
      </c>
      <c r="N14" s="149" t="s">
        <v>99</v>
      </c>
      <c r="O14" s="149" t="s">
        <v>99</v>
      </c>
      <c r="P14" s="149" t="s">
        <v>99</v>
      </c>
      <c r="Q14" s="149"/>
      <c r="R14" s="149" t="s">
        <v>99</v>
      </c>
      <c r="S14" s="149"/>
      <c r="T14" s="149" t="s">
        <v>99</v>
      </c>
      <c r="U14" s="149" t="s">
        <v>99</v>
      </c>
      <c r="V14" s="138">
        <f t="shared" si="1"/>
        <v>17</v>
      </c>
    </row>
    <row r="15" spans="1:25" s="102" customFormat="1" x14ac:dyDescent="0.2">
      <c r="A15" s="98">
        <v>11</v>
      </c>
      <c r="B15" s="148" t="s">
        <v>33</v>
      </c>
      <c r="C15" s="149" t="s">
        <v>99</v>
      </c>
      <c r="D15" s="149" t="s">
        <v>99</v>
      </c>
      <c r="E15" s="149" t="s">
        <v>99</v>
      </c>
      <c r="F15" s="149" t="s">
        <v>99</v>
      </c>
      <c r="G15" s="149" t="s">
        <v>99</v>
      </c>
      <c r="H15" s="149" t="s">
        <v>99</v>
      </c>
      <c r="I15" s="149" t="s">
        <v>99</v>
      </c>
      <c r="J15" s="149" t="s">
        <v>99</v>
      </c>
      <c r="K15" s="149" t="s">
        <v>99</v>
      </c>
      <c r="L15" s="132"/>
      <c r="M15" s="149" t="s">
        <v>99</v>
      </c>
      <c r="N15" s="149" t="s">
        <v>99</v>
      </c>
      <c r="O15" s="149"/>
      <c r="P15" s="149" t="s">
        <v>99</v>
      </c>
      <c r="Q15" s="149" t="s">
        <v>99</v>
      </c>
      <c r="R15" s="149" t="s">
        <v>99</v>
      </c>
      <c r="S15" s="149" t="s">
        <v>99</v>
      </c>
      <c r="T15" s="149" t="s">
        <v>99</v>
      </c>
      <c r="U15" s="149" t="s">
        <v>99</v>
      </c>
      <c r="V15" s="138">
        <f t="shared" si="1"/>
        <v>17</v>
      </c>
    </row>
    <row r="16" spans="1:25" s="102" customFormat="1" x14ac:dyDescent="0.2">
      <c r="A16" s="98">
        <v>12</v>
      </c>
      <c r="B16" s="148" t="s">
        <v>18</v>
      </c>
      <c r="C16" s="149" t="s">
        <v>99</v>
      </c>
      <c r="D16" s="149" t="s">
        <v>99</v>
      </c>
      <c r="E16" s="149" t="s">
        <v>99</v>
      </c>
      <c r="F16" s="149" t="s">
        <v>99</v>
      </c>
      <c r="G16" s="149"/>
      <c r="H16" s="149" t="s">
        <v>99</v>
      </c>
      <c r="I16" s="149" t="s">
        <v>99</v>
      </c>
      <c r="J16" s="149" t="s">
        <v>99</v>
      </c>
      <c r="K16" s="149" t="s">
        <v>99</v>
      </c>
      <c r="L16" s="132" t="s">
        <v>99</v>
      </c>
      <c r="M16" s="149" t="s">
        <v>99</v>
      </c>
      <c r="N16" s="149" t="s">
        <v>99</v>
      </c>
      <c r="O16" s="149"/>
      <c r="P16" s="149" t="s">
        <v>99</v>
      </c>
      <c r="Q16" s="149"/>
      <c r="R16" s="149" t="s">
        <v>99</v>
      </c>
      <c r="S16" s="149"/>
      <c r="T16" s="149" t="s">
        <v>99</v>
      </c>
      <c r="U16" s="149" t="s">
        <v>99</v>
      </c>
      <c r="V16" s="138">
        <f t="shared" si="1"/>
        <v>15</v>
      </c>
    </row>
    <row r="17" spans="1:25" s="102" customFormat="1" x14ac:dyDescent="0.2">
      <c r="A17" s="98">
        <v>13</v>
      </c>
      <c r="B17" s="148" t="s">
        <v>31</v>
      </c>
      <c r="C17" s="149" t="s">
        <v>99</v>
      </c>
      <c r="D17" s="149" t="s">
        <v>99</v>
      </c>
      <c r="E17" s="149" t="s">
        <v>99</v>
      </c>
      <c r="F17" s="149" t="s">
        <v>99</v>
      </c>
      <c r="G17" s="149"/>
      <c r="H17" s="149" t="s">
        <v>99</v>
      </c>
      <c r="I17" s="149" t="s">
        <v>99</v>
      </c>
      <c r="J17" s="132" t="s">
        <v>99</v>
      </c>
      <c r="K17" s="149" t="s">
        <v>99</v>
      </c>
      <c r="L17" s="132"/>
      <c r="M17" s="149" t="s">
        <v>99</v>
      </c>
      <c r="N17" s="149" t="s">
        <v>99</v>
      </c>
      <c r="O17" s="149"/>
      <c r="P17" s="149" t="s">
        <v>99</v>
      </c>
      <c r="Q17" s="149"/>
      <c r="R17" s="149" t="s">
        <v>99</v>
      </c>
      <c r="S17" s="149"/>
      <c r="T17" s="149" t="s">
        <v>99</v>
      </c>
      <c r="U17" s="149" t="s">
        <v>99</v>
      </c>
      <c r="V17" s="138">
        <f t="shared" si="1"/>
        <v>14</v>
      </c>
    </row>
    <row r="18" spans="1:25" s="102" customFormat="1" x14ac:dyDescent="0.2">
      <c r="A18" s="98">
        <v>14</v>
      </c>
      <c r="B18" s="148" t="s">
        <v>20</v>
      </c>
      <c r="C18" s="149" t="s">
        <v>99</v>
      </c>
      <c r="D18" s="149" t="s">
        <v>99</v>
      </c>
      <c r="E18" s="149" t="s">
        <v>99</v>
      </c>
      <c r="F18" s="149" t="s">
        <v>99</v>
      </c>
      <c r="G18" s="149" t="s">
        <v>99</v>
      </c>
      <c r="H18" s="149"/>
      <c r="I18" s="149" t="s">
        <v>99</v>
      </c>
      <c r="J18" s="149" t="s">
        <v>99</v>
      </c>
      <c r="K18" s="149" t="s">
        <v>99</v>
      </c>
      <c r="L18" s="132" t="s">
        <v>99</v>
      </c>
      <c r="M18" s="149" t="s">
        <v>99</v>
      </c>
      <c r="N18" s="149" t="s">
        <v>99</v>
      </c>
      <c r="O18" s="149" t="s">
        <v>99</v>
      </c>
      <c r="P18" s="132" t="s">
        <v>99</v>
      </c>
      <c r="Q18" s="149"/>
      <c r="R18" s="149" t="s">
        <v>99</v>
      </c>
      <c r="S18" s="149"/>
      <c r="T18" s="149" t="s">
        <v>99</v>
      </c>
      <c r="U18" s="149" t="s">
        <v>99</v>
      </c>
      <c r="V18" s="138">
        <f t="shared" si="1"/>
        <v>16</v>
      </c>
    </row>
    <row r="19" spans="1:25" s="102" customFormat="1" x14ac:dyDescent="0.2">
      <c r="A19" s="98">
        <v>15</v>
      </c>
      <c r="B19" s="148" t="s">
        <v>21</v>
      </c>
      <c r="C19" s="149" t="s">
        <v>99</v>
      </c>
      <c r="D19" s="149" t="s">
        <v>99</v>
      </c>
      <c r="E19" s="149" t="s">
        <v>99</v>
      </c>
      <c r="F19" s="149" t="s">
        <v>99</v>
      </c>
      <c r="G19" s="149" t="s">
        <v>99</v>
      </c>
      <c r="H19" s="149" t="s">
        <v>99</v>
      </c>
      <c r="I19" s="149" t="s">
        <v>99</v>
      </c>
      <c r="J19" s="149" t="s">
        <v>99</v>
      </c>
      <c r="K19" s="149" t="s">
        <v>99</v>
      </c>
      <c r="L19" s="149" t="s">
        <v>99</v>
      </c>
      <c r="M19" s="149" t="s">
        <v>99</v>
      </c>
      <c r="N19" s="149" t="s">
        <v>99</v>
      </c>
      <c r="O19" s="149" t="s">
        <v>99</v>
      </c>
      <c r="P19" s="149" t="s">
        <v>99</v>
      </c>
      <c r="Q19" s="149" t="s">
        <v>99</v>
      </c>
      <c r="R19" s="149" t="s">
        <v>99</v>
      </c>
      <c r="S19" s="149" t="s">
        <v>99</v>
      </c>
      <c r="T19" s="149"/>
      <c r="U19" s="149" t="s">
        <v>99</v>
      </c>
      <c r="V19" s="138">
        <f t="shared" si="1"/>
        <v>18</v>
      </c>
    </row>
    <row r="20" spans="1:25" s="102" customFormat="1" x14ac:dyDescent="0.2">
      <c r="A20" s="98">
        <v>16</v>
      </c>
      <c r="B20" s="148" t="s">
        <v>23</v>
      </c>
      <c r="C20" s="149" t="s">
        <v>99</v>
      </c>
      <c r="D20" s="149" t="s">
        <v>99</v>
      </c>
      <c r="E20" s="149" t="s">
        <v>99</v>
      </c>
      <c r="F20" s="149" t="s">
        <v>99</v>
      </c>
      <c r="G20" s="149" t="s">
        <v>99</v>
      </c>
      <c r="H20" s="149" t="s">
        <v>99</v>
      </c>
      <c r="I20" s="149" t="s">
        <v>99</v>
      </c>
      <c r="J20" s="149" t="s">
        <v>99</v>
      </c>
      <c r="K20" s="149" t="s">
        <v>99</v>
      </c>
      <c r="L20" s="132"/>
      <c r="M20" s="149" t="s">
        <v>99</v>
      </c>
      <c r="N20" s="149" t="s">
        <v>99</v>
      </c>
      <c r="O20" s="149" t="s">
        <v>99</v>
      </c>
      <c r="P20" s="132" t="s">
        <v>99</v>
      </c>
      <c r="Q20" s="149"/>
      <c r="R20" s="149" t="s">
        <v>99</v>
      </c>
      <c r="S20" s="149"/>
      <c r="T20" s="149" t="s">
        <v>99</v>
      </c>
      <c r="U20" s="149" t="s">
        <v>99</v>
      </c>
      <c r="V20" s="138">
        <f t="shared" si="1"/>
        <v>16</v>
      </c>
    </row>
    <row r="21" spans="1:25" s="102" customFormat="1" x14ac:dyDescent="0.2">
      <c r="A21" s="98">
        <v>17</v>
      </c>
      <c r="B21" s="148" t="s">
        <v>16</v>
      </c>
      <c r="C21" s="149" t="s">
        <v>99</v>
      </c>
      <c r="D21" s="149" t="s">
        <v>99</v>
      </c>
      <c r="E21" s="149" t="s">
        <v>99</v>
      </c>
      <c r="F21" s="149" t="s">
        <v>99</v>
      </c>
      <c r="G21" s="149" t="s">
        <v>99</v>
      </c>
      <c r="H21" s="149" t="s">
        <v>99</v>
      </c>
      <c r="I21" s="149" t="s">
        <v>99</v>
      </c>
      <c r="J21" s="149" t="s">
        <v>99</v>
      </c>
      <c r="K21" s="149" t="s">
        <v>99</v>
      </c>
      <c r="L21" s="132"/>
      <c r="M21" s="149" t="s">
        <v>99</v>
      </c>
      <c r="N21" s="149" t="s">
        <v>99</v>
      </c>
      <c r="O21" s="149"/>
      <c r="P21" s="132" t="s">
        <v>99</v>
      </c>
      <c r="Q21" s="149"/>
      <c r="R21" s="149" t="s">
        <v>99</v>
      </c>
      <c r="S21" s="149" t="s">
        <v>99</v>
      </c>
      <c r="T21" s="149" t="s">
        <v>99</v>
      </c>
      <c r="U21" s="149" t="s">
        <v>99</v>
      </c>
      <c r="V21" s="138">
        <f t="shared" si="1"/>
        <v>16</v>
      </c>
    </row>
    <row r="22" spans="1:25" s="102" customFormat="1" x14ac:dyDescent="0.2">
      <c r="A22" s="98">
        <v>18</v>
      </c>
      <c r="B22" s="148" t="s">
        <v>24</v>
      </c>
      <c r="C22" s="149" t="s">
        <v>99</v>
      </c>
      <c r="D22" s="149" t="s">
        <v>99</v>
      </c>
      <c r="E22" s="149" t="s">
        <v>99</v>
      </c>
      <c r="F22" s="149" t="s">
        <v>99</v>
      </c>
      <c r="G22" s="149" t="s">
        <v>99</v>
      </c>
      <c r="H22" s="149" t="s">
        <v>99</v>
      </c>
      <c r="I22" s="149" t="s">
        <v>99</v>
      </c>
      <c r="J22" s="149" t="s">
        <v>99</v>
      </c>
      <c r="K22" s="149" t="s">
        <v>99</v>
      </c>
      <c r="L22" s="132"/>
      <c r="M22" s="149" t="s">
        <v>99</v>
      </c>
      <c r="N22" s="149" t="s">
        <v>99</v>
      </c>
      <c r="O22" s="149" t="s">
        <v>99</v>
      </c>
      <c r="P22" s="132" t="s">
        <v>99</v>
      </c>
      <c r="Q22" s="149" t="s">
        <v>99</v>
      </c>
      <c r="R22" s="149" t="s">
        <v>99</v>
      </c>
      <c r="S22" s="149" t="s">
        <v>99</v>
      </c>
      <c r="T22" s="149" t="s">
        <v>99</v>
      </c>
      <c r="U22" s="149" t="s">
        <v>99</v>
      </c>
      <c r="V22" s="138">
        <f t="shared" si="1"/>
        <v>18</v>
      </c>
    </row>
    <row r="23" spans="1:25" s="102" customFormat="1" x14ac:dyDescent="0.2">
      <c r="A23" s="98">
        <v>19</v>
      </c>
      <c r="B23" s="148" t="s">
        <v>27</v>
      </c>
      <c r="C23" s="149" t="s">
        <v>99</v>
      </c>
      <c r="D23" s="149" t="s">
        <v>99</v>
      </c>
      <c r="E23" s="149" t="s">
        <v>99</v>
      </c>
      <c r="F23" s="149" t="s">
        <v>99</v>
      </c>
      <c r="G23" s="149" t="s">
        <v>99</v>
      </c>
      <c r="H23" s="149" t="s">
        <v>99</v>
      </c>
      <c r="I23" s="149" t="s">
        <v>99</v>
      </c>
      <c r="J23" s="132" t="s">
        <v>99</v>
      </c>
      <c r="K23" s="149" t="s">
        <v>99</v>
      </c>
      <c r="L23" s="132"/>
      <c r="M23" s="149" t="s">
        <v>99</v>
      </c>
      <c r="N23" s="149" t="s">
        <v>99</v>
      </c>
      <c r="O23" s="149" t="s">
        <v>99</v>
      </c>
      <c r="P23" s="132" t="s">
        <v>99</v>
      </c>
      <c r="Q23" s="149" t="s">
        <v>99</v>
      </c>
      <c r="R23" s="149" t="s">
        <v>99</v>
      </c>
      <c r="S23" s="149"/>
      <c r="T23" s="149" t="s">
        <v>99</v>
      </c>
      <c r="U23" s="149" t="s">
        <v>99</v>
      </c>
      <c r="V23" s="138">
        <f t="shared" si="1"/>
        <v>17</v>
      </c>
    </row>
    <row r="24" spans="1:25" s="102" customFormat="1" x14ac:dyDescent="0.2">
      <c r="A24" s="98">
        <v>20</v>
      </c>
      <c r="B24" s="148" t="s">
        <v>15</v>
      </c>
      <c r="C24" s="149" t="s">
        <v>99</v>
      </c>
      <c r="D24" s="149" t="s">
        <v>99</v>
      </c>
      <c r="E24" s="149" t="s">
        <v>99</v>
      </c>
      <c r="F24" s="149" t="s">
        <v>99</v>
      </c>
      <c r="G24" s="149" t="s">
        <v>99</v>
      </c>
      <c r="H24" s="149" t="s">
        <v>99</v>
      </c>
      <c r="I24" s="149" t="s">
        <v>99</v>
      </c>
      <c r="J24" s="132" t="s">
        <v>99</v>
      </c>
      <c r="K24" s="149" t="s">
        <v>99</v>
      </c>
      <c r="L24" s="132"/>
      <c r="M24" s="149" t="s">
        <v>99</v>
      </c>
      <c r="N24" s="149" t="s">
        <v>99</v>
      </c>
      <c r="O24" s="149" t="s">
        <v>99</v>
      </c>
      <c r="P24" s="132" t="s">
        <v>99</v>
      </c>
      <c r="Q24" s="149" t="s">
        <v>99</v>
      </c>
      <c r="R24" s="149" t="s">
        <v>99</v>
      </c>
      <c r="S24" s="149" t="s">
        <v>99</v>
      </c>
      <c r="T24" s="149" t="s">
        <v>99</v>
      </c>
      <c r="U24" s="149" t="s">
        <v>99</v>
      </c>
      <c r="V24" s="138">
        <f t="shared" si="1"/>
        <v>18</v>
      </c>
    </row>
    <row r="25" spans="1:25" s="104" customFormat="1" x14ac:dyDescent="0.2">
      <c r="A25" s="318" t="s">
        <v>34</v>
      </c>
      <c r="B25" s="312"/>
      <c r="C25" s="167">
        <f t="shared" ref="C25:U25" si="3">COUNTIF(C26:C35,"X")</f>
        <v>10</v>
      </c>
      <c r="D25" s="167">
        <f t="shared" si="3"/>
        <v>10</v>
      </c>
      <c r="E25" s="167">
        <f t="shared" si="3"/>
        <v>10</v>
      </c>
      <c r="F25" s="167">
        <f t="shared" si="3"/>
        <v>10</v>
      </c>
      <c r="G25" s="167">
        <f t="shared" si="3"/>
        <v>3</v>
      </c>
      <c r="H25" s="167">
        <f t="shared" si="3"/>
        <v>10</v>
      </c>
      <c r="I25" s="167">
        <f t="shared" si="3"/>
        <v>10</v>
      </c>
      <c r="J25" s="167">
        <f t="shared" si="3"/>
        <v>10</v>
      </c>
      <c r="K25" s="167">
        <f t="shared" si="3"/>
        <v>10</v>
      </c>
      <c r="L25" s="167">
        <f t="shared" si="3"/>
        <v>9</v>
      </c>
      <c r="M25" s="167">
        <f t="shared" si="3"/>
        <v>10</v>
      </c>
      <c r="N25" s="167">
        <f t="shared" si="3"/>
        <v>10</v>
      </c>
      <c r="O25" s="167">
        <f t="shared" si="3"/>
        <v>10</v>
      </c>
      <c r="P25" s="167">
        <f>COUNTIF(P26:P35,"X")</f>
        <v>10</v>
      </c>
      <c r="Q25" s="167">
        <f>COUNTIF(Q26:Q35,"X")</f>
        <v>10</v>
      </c>
      <c r="R25" s="167">
        <f t="shared" si="3"/>
        <v>9</v>
      </c>
      <c r="S25" s="167">
        <f t="shared" si="3"/>
        <v>0</v>
      </c>
      <c r="T25" s="167">
        <f t="shared" si="3"/>
        <v>9</v>
      </c>
      <c r="U25" s="98">
        <f t="shared" si="3"/>
        <v>10</v>
      </c>
      <c r="V25" s="103">
        <f>AVERAGE(V26:V35)</f>
        <v>17</v>
      </c>
    </row>
    <row r="26" spans="1:25" s="164" customFormat="1" x14ac:dyDescent="0.2">
      <c r="A26" s="133">
        <v>1</v>
      </c>
      <c r="B26" s="10" t="s">
        <v>41</v>
      </c>
      <c r="C26" s="33" t="s">
        <v>99</v>
      </c>
      <c r="D26" s="33" t="s">
        <v>99</v>
      </c>
      <c r="E26" s="33" t="s">
        <v>99</v>
      </c>
      <c r="F26" s="33" t="s">
        <v>99</v>
      </c>
      <c r="G26" s="33"/>
      <c r="H26" s="33" t="s">
        <v>99</v>
      </c>
      <c r="I26" s="33" t="s">
        <v>99</v>
      </c>
      <c r="J26" s="33" t="s">
        <v>99</v>
      </c>
      <c r="K26" s="33" t="s">
        <v>99</v>
      </c>
      <c r="L26" s="33" t="s">
        <v>99</v>
      </c>
      <c r="M26" s="33" t="s">
        <v>99</v>
      </c>
      <c r="N26" s="33" t="s">
        <v>99</v>
      </c>
      <c r="O26" s="33" t="s">
        <v>99</v>
      </c>
      <c r="P26" s="33" t="s">
        <v>99</v>
      </c>
      <c r="Q26" s="132" t="s">
        <v>99</v>
      </c>
      <c r="R26" s="33" t="s">
        <v>99</v>
      </c>
      <c r="S26" s="33"/>
      <c r="T26" s="33" t="s">
        <v>99</v>
      </c>
      <c r="U26" s="33" t="s">
        <v>99</v>
      </c>
      <c r="V26" s="9">
        <f t="shared" ref="V26:V35" si="4">COUNTIF(C26:U26,"X")</f>
        <v>17</v>
      </c>
      <c r="W26" s="164">
        <f>COUNTIF($V$26:$V$35,"15")</f>
        <v>0</v>
      </c>
    </row>
    <row r="27" spans="1:25" s="164" customFormat="1" x14ac:dyDescent="0.2">
      <c r="A27" s="133">
        <v>2</v>
      </c>
      <c r="B27" s="10" t="s">
        <v>39</v>
      </c>
      <c r="C27" s="33" t="s">
        <v>99</v>
      </c>
      <c r="D27" s="33" t="s">
        <v>99</v>
      </c>
      <c r="E27" s="33" t="s">
        <v>99</v>
      </c>
      <c r="F27" s="33" t="s">
        <v>99</v>
      </c>
      <c r="G27" s="33"/>
      <c r="H27" s="33" t="s">
        <v>99</v>
      </c>
      <c r="I27" s="33" t="s">
        <v>99</v>
      </c>
      <c r="J27" s="33" t="s">
        <v>99</v>
      </c>
      <c r="K27" s="33" t="s">
        <v>99</v>
      </c>
      <c r="L27" s="33" t="s">
        <v>99</v>
      </c>
      <c r="M27" s="33" t="s">
        <v>99</v>
      </c>
      <c r="N27" s="33" t="s">
        <v>99</v>
      </c>
      <c r="O27" s="33" t="s">
        <v>99</v>
      </c>
      <c r="P27" s="33" t="s">
        <v>99</v>
      </c>
      <c r="Q27" s="132" t="s">
        <v>99</v>
      </c>
      <c r="R27" s="33" t="s">
        <v>99</v>
      </c>
      <c r="S27" s="33"/>
      <c r="T27" s="33" t="s">
        <v>99</v>
      </c>
      <c r="U27" s="33" t="s">
        <v>99</v>
      </c>
      <c r="V27" s="9">
        <f t="shared" si="4"/>
        <v>17</v>
      </c>
      <c r="W27" s="164">
        <f>COUNTIF($V$26:$V$35,"16")</f>
        <v>3</v>
      </c>
      <c r="Y27" s="164">
        <f>SUM(W26:W31)</f>
        <v>10</v>
      </c>
    </row>
    <row r="28" spans="1:25" s="164" customFormat="1" x14ac:dyDescent="0.2">
      <c r="A28" s="133">
        <v>3</v>
      </c>
      <c r="B28" s="10" t="s">
        <v>36</v>
      </c>
      <c r="C28" s="33" t="s">
        <v>99</v>
      </c>
      <c r="D28" s="33" t="s">
        <v>99</v>
      </c>
      <c r="E28" s="33" t="s">
        <v>99</v>
      </c>
      <c r="F28" s="33" t="s">
        <v>99</v>
      </c>
      <c r="G28" s="33" t="s">
        <v>99</v>
      </c>
      <c r="H28" s="33" t="s">
        <v>99</v>
      </c>
      <c r="I28" s="33" t="s">
        <v>99</v>
      </c>
      <c r="J28" s="33" t="s">
        <v>99</v>
      </c>
      <c r="K28" s="33" t="s">
        <v>99</v>
      </c>
      <c r="L28" s="33" t="s">
        <v>99</v>
      </c>
      <c r="M28" s="33" t="s">
        <v>99</v>
      </c>
      <c r="N28" s="33" t="s">
        <v>99</v>
      </c>
      <c r="O28" s="33" t="s">
        <v>99</v>
      </c>
      <c r="P28" s="33" t="s">
        <v>99</v>
      </c>
      <c r="Q28" s="132" t="s">
        <v>99</v>
      </c>
      <c r="R28" s="33" t="s">
        <v>99</v>
      </c>
      <c r="S28" s="33"/>
      <c r="T28" s="33" t="s">
        <v>99</v>
      </c>
      <c r="U28" s="33" t="s">
        <v>99</v>
      </c>
      <c r="V28" s="9">
        <f t="shared" si="4"/>
        <v>18</v>
      </c>
      <c r="W28" s="164">
        <f>COUNTIF($V$26:$V$35,"17")</f>
        <v>4</v>
      </c>
    </row>
    <row r="29" spans="1:25" s="164" customFormat="1" x14ac:dyDescent="0.2">
      <c r="A29" s="133">
        <v>4</v>
      </c>
      <c r="B29" s="10" t="s">
        <v>40</v>
      </c>
      <c r="C29" s="33" t="s">
        <v>99</v>
      </c>
      <c r="D29" s="33" t="s">
        <v>99</v>
      </c>
      <c r="E29" s="33" t="s">
        <v>99</v>
      </c>
      <c r="F29" s="33" t="s">
        <v>99</v>
      </c>
      <c r="G29" s="33"/>
      <c r="H29" s="33" t="s">
        <v>99</v>
      </c>
      <c r="I29" s="33" t="s">
        <v>99</v>
      </c>
      <c r="J29" s="33" t="s">
        <v>99</v>
      </c>
      <c r="K29" s="33" t="s">
        <v>99</v>
      </c>
      <c r="L29" s="33" t="s">
        <v>99</v>
      </c>
      <c r="M29" s="33" t="s">
        <v>99</v>
      </c>
      <c r="N29" s="33" t="s">
        <v>99</v>
      </c>
      <c r="O29" s="33" t="s">
        <v>99</v>
      </c>
      <c r="P29" s="33" t="s">
        <v>99</v>
      </c>
      <c r="Q29" s="132" t="s">
        <v>99</v>
      </c>
      <c r="R29" s="33"/>
      <c r="S29" s="33"/>
      <c r="T29" s="33" t="s">
        <v>99</v>
      </c>
      <c r="U29" s="33" t="s">
        <v>99</v>
      </c>
      <c r="V29" s="9">
        <f t="shared" si="4"/>
        <v>16</v>
      </c>
      <c r="W29" s="164">
        <f>COUNTIF($V$26:$V$35,"18")</f>
        <v>3</v>
      </c>
    </row>
    <row r="30" spans="1:25" s="164" customFormat="1" x14ac:dyDescent="0.2">
      <c r="A30" s="133">
        <v>5</v>
      </c>
      <c r="B30" s="10" t="s">
        <v>42</v>
      </c>
      <c r="C30" s="33" t="s">
        <v>99</v>
      </c>
      <c r="D30" s="33" t="s">
        <v>99</v>
      </c>
      <c r="E30" s="33" t="s">
        <v>99</v>
      </c>
      <c r="F30" s="33" t="s">
        <v>99</v>
      </c>
      <c r="G30" s="33"/>
      <c r="H30" s="33" t="s">
        <v>99</v>
      </c>
      <c r="I30" s="33" t="s">
        <v>99</v>
      </c>
      <c r="J30" s="33" t="s">
        <v>99</v>
      </c>
      <c r="K30" s="33" t="s">
        <v>99</v>
      </c>
      <c r="L30" s="33" t="s">
        <v>99</v>
      </c>
      <c r="M30" s="33" t="s">
        <v>99</v>
      </c>
      <c r="N30" s="33" t="s">
        <v>99</v>
      </c>
      <c r="O30" s="33" t="s">
        <v>99</v>
      </c>
      <c r="P30" s="33" t="s">
        <v>99</v>
      </c>
      <c r="Q30" s="132" t="s">
        <v>99</v>
      </c>
      <c r="R30" s="33" t="s">
        <v>99</v>
      </c>
      <c r="S30" s="33"/>
      <c r="T30" s="33" t="s">
        <v>99</v>
      </c>
      <c r="U30" s="33" t="s">
        <v>99</v>
      </c>
      <c r="V30" s="9">
        <f t="shared" si="4"/>
        <v>17</v>
      </c>
      <c r="W30" s="164">
        <f>COUNTIF($V$26:$V$35,"19")</f>
        <v>0</v>
      </c>
    </row>
    <row r="31" spans="1:25" s="164" customFormat="1" x14ac:dyDescent="0.2">
      <c r="A31" s="133">
        <v>6</v>
      </c>
      <c r="B31" s="10" t="s">
        <v>43</v>
      </c>
      <c r="C31" s="33" t="s">
        <v>99</v>
      </c>
      <c r="D31" s="33" t="s">
        <v>99</v>
      </c>
      <c r="E31" s="33" t="s">
        <v>99</v>
      </c>
      <c r="F31" s="33" t="s">
        <v>99</v>
      </c>
      <c r="G31" s="33"/>
      <c r="H31" s="33" t="s">
        <v>99</v>
      </c>
      <c r="I31" s="33" t="s">
        <v>99</v>
      </c>
      <c r="J31" s="33" t="s">
        <v>99</v>
      </c>
      <c r="K31" s="33" t="s">
        <v>99</v>
      </c>
      <c r="L31" s="33"/>
      <c r="M31" s="33" t="s">
        <v>99</v>
      </c>
      <c r="N31" s="33" t="s">
        <v>99</v>
      </c>
      <c r="O31" s="33" t="s">
        <v>99</v>
      </c>
      <c r="P31" s="33" t="s">
        <v>99</v>
      </c>
      <c r="Q31" s="132" t="s">
        <v>99</v>
      </c>
      <c r="R31" s="33" t="s">
        <v>99</v>
      </c>
      <c r="S31" s="33"/>
      <c r="T31" s="33" t="s">
        <v>99</v>
      </c>
      <c r="U31" s="33" t="s">
        <v>99</v>
      </c>
      <c r="V31" s="9">
        <f t="shared" si="4"/>
        <v>16</v>
      </c>
    </row>
    <row r="32" spans="1:25" s="164" customFormat="1" x14ac:dyDescent="0.2">
      <c r="A32" s="133">
        <v>7</v>
      </c>
      <c r="B32" s="10" t="s">
        <v>37</v>
      </c>
      <c r="C32" s="33" t="s">
        <v>99</v>
      </c>
      <c r="D32" s="33" t="s">
        <v>99</v>
      </c>
      <c r="E32" s="33" t="s">
        <v>99</v>
      </c>
      <c r="F32" s="33" t="s">
        <v>99</v>
      </c>
      <c r="G32" s="33" t="s">
        <v>99</v>
      </c>
      <c r="H32" s="33" t="s">
        <v>99</v>
      </c>
      <c r="I32" s="33" t="s">
        <v>99</v>
      </c>
      <c r="J32" s="33" t="s">
        <v>99</v>
      </c>
      <c r="K32" s="33" t="s">
        <v>99</v>
      </c>
      <c r="L32" s="33" t="s">
        <v>99</v>
      </c>
      <c r="M32" s="33" t="s">
        <v>99</v>
      </c>
      <c r="N32" s="33" t="s">
        <v>99</v>
      </c>
      <c r="O32" s="33" t="s">
        <v>99</v>
      </c>
      <c r="P32" s="33" t="s">
        <v>99</v>
      </c>
      <c r="Q32" s="132" t="s">
        <v>99</v>
      </c>
      <c r="R32" s="33" t="s">
        <v>99</v>
      </c>
      <c r="S32" s="33"/>
      <c r="T32" s="33" t="s">
        <v>99</v>
      </c>
      <c r="U32" s="33" t="s">
        <v>99</v>
      </c>
      <c r="V32" s="9">
        <f t="shared" si="4"/>
        <v>18</v>
      </c>
    </row>
    <row r="33" spans="1:23" s="164" customFormat="1" x14ac:dyDescent="0.2">
      <c r="A33" s="133">
        <v>8</v>
      </c>
      <c r="B33" s="10" t="s">
        <v>44</v>
      </c>
      <c r="C33" s="33" t="s">
        <v>99</v>
      </c>
      <c r="D33" s="33" t="s">
        <v>99</v>
      </c>
      <c r="E33" s="33" t="s">
        <v>99</v>
      </c>
      <c r="F33" s="33" t="s">
        <v>99</v>
      </c>
      <c r="G33" s="33" t="s">
        <v>99</v>
      </c>
      <c r="H33" s="33" t="s">
        <v>99</v>
      </c>
      <c r="I33" s="33" t="s">
        <v>99</v>
      </c>
      <c r="J33" s="33" t="s">
        <v>99</v>
      </c>
      <c r="K33" s="33" t="s">
        <v>99</v>
      </c>
      <c r="L33" s="33" t="s">
        <v>99</v>
      </c>
      <c r="M33" s="33" t="s">
        <v>99</v>
      </c>
      <c r="N33" s="33" t="s">
        <v>99</v>
      </c>
      <c r="O33" s="33" t="s">
        <v>99</v>
      </c>
      <c r="P33" s="33" t="s">
        <v>99</v>
      </c>
      <c r="Q33" s="132" t="s">
        <v>99</v>
      </c>
      <c r="R33" s="33" t="s">
        <v>99</v>
      </c>
      <c r="S33" s="33"/>
      <c r="T33" s="33" t="s">
        <v>99</v>
      </c>
      <c r="U33" s="33" t="s">
        <v>99</v>
      </c>
      <c r="V33" s="9">
        <f t="shared" si="4"/>
        <v>18</v>
      </c>
    </row>
    <row r="34" spans="1:23" s="102" customFormat="1" x14ac:dyDescent="0.2">
      <c r="A34" s="98">
        <v>9</v>
      </c>
      <c r="B34" s="47" t="s">
        <v>38</v>
      </c>
      <c r="C34" s="33" t="s">
        <v>99</v>
      </c>
      <c r="D34" s="165" t="s">
        <v>99</v>
      </c>
      <c r="E34" s="165" t="s">
        <v>99</v>
      </c>
      <c r="F34" s="165" t="s">
        <v>99</v>
      </c>
      <c r="G34" s="165"/>
      <c r="H34" s="165" t="s">
        <v>99</v>
      </c>
      <c r="I34" s="165" t="s">
        <v>99</v>
      </c>
      <c r="J34" s="165" t="s">
        <v>99</v>
      </c>
      <c r="K34" s="165" t="s">
        <v>99</v>
      </c>
      <c r="L34" s="165" t="s">
        <v>99</v>
      </c>
      <c r="M34" s="165" t="s">
        <v>99</v>
      </c>
      <c r="N34" s="165" t="s">
        <v>99</v>
      </c>
      <c r="O34" s="33" t="s">
        <v>99</v>
      </c>
      <c r="P34" s="33" t="s">
        <v>99</v>
      </c>
      <c r="Q34" s="132" t="s">
        <v>99</v>
      </c>
      <c r="R34" s="165" t="s">
        <v>99</v>
      </c>
      <c r="S34" s="165"/>
      <c r="T34" s="165" t="s">
        <v>99</v>
      </c>
      <c r="U34" s="165" t="s">
        <v>99</v>
      </c>
      <c r="V34" s="167">
        <f t="shared" si="4"/>
        <v>17</v>
      </c>
    </row>
    <row r="35" spans="1:23" s="102" customFormat="1" x14ac:dyDescent="0.2">
      <c r="A35" s="98">
        <v>10</v>
      </c>
      <c r="B35" s="47" t="s">
        <v>35</v>
      </c>
      <c r="C35" s="165" t="s">
        <v>99</v>
      </c>
      <c r="D35" s="165" t="s">
        <v>99</v>
      </c>
      <c r="E35" s="165" t="s">
        <v>99</v>
      </c>
      <c r="F35" s="165" t="s">
        <v>99</v>
      </c>
      <c r="G35" s="165"/>
      <c r="H35" s="165" t="s">
        <v>99</v>
      </c>
      <c r="I35" s="165" t="s">
        <v>99</v>
      </c>
      <c r="J35" s="165" t="s">
        <v>99</v>
      </c>
      <c r="K35" s="165" t="s">
        <v>99</v>
      </c>
      <c r="L35" s="165" t="s">
        <v>99</v>
      </c>
      <c r="M35" s="165" t="s">
        <v>99</v>
      </c>
      <c r="N35" s="165" t="s">
        <v>99</v>
      </c>
      <c r="O35" s="33" t="s">
        <v>99</v>
      </c>
      <c r="P35" s="165" t="s">
        <v>99</v>
      </c>
      <c r="Q35" s="132" t="s">
        <v>99</v>
      </c>
      <c r="R35" s="165" t="s">
        <v>99</v>
      </c>
      <c r="S35" s="165"/>
      <c r="T35" s="165"/>
      <c r="U35" s="165" t="s">
        <v>99</v>
      </c>
      <c r="V35" s="167">
        <f t="shared" si="4"/>
        <v>16</v>
      </c>
    </row>
    <row r="36" spans="1:23" s="104" customFormat="1" x14ac:dyDescent="0.2">
      <c r="A36" s="318" t="s">
        <v>45</v>
      </c>
      <c r="B36" s="312"/>
      <c r="C36" s="167">
        <f t="shared" ref="C36:U36" si="5">COUNTIF(C37:C50,"X")</f>
        <v>14</v>
      </c>
      <c r="D36" s="167">
        <f t="shared" si="5"/>
        <v>0</v>
      </c>
      <c r="E36" s="167">
        <f t="shared" si="5"/>
        <v>12</v>
      </c>
      <c r="F36" s="167">
        <f t="shared" si="5"/>
        <v>14</v>
      </c>
      <c r="G36" s="167">
        <f t="shared" si="5"/>
        <v>10</v>
      </c>
      <c r="H36" s="167">
        <f t="shared" si="5"/>
        <v>11</v>
      </c>
      <c r="I36" s="167">
        <f t="shared" si="5"/>
        <v>14</v>
      </c>
      <c r="J36" s="167">
        <f t="shared" si="5"/>
        <v>14</v>
      </c>
      <c r="K36" s="167">
        <f t="shared" si="5"/>
        <v>13</v>
      </c>
      <c r="L36" s="167">
        <f t="shared" si="5"/>
        <v>12</v>
      </c>
      <c r="M36" s="167">
        <f t="shared" si="5"/>
        <v>14</v>
      </c>
      <c r="N36" s="167">
        <f t="shared" si="5"/>
        <v>14</v>
      </c>
      <c r="O36" s="167">
        <f t="shared" si="5"/>
        <v>8</v>
      </c>
      <c r="P36" s="167">
        <f t="shared" si="5"/>
        <v>14</v>
      </c>
      <c r="Q36" s="167">
        <f t="shared" si="5"/>
        <v>14</v>
      </c>
      <c r="R36" s="167">
        <f t="shared" si="5"/>
        <v>14</v>
      </c>
      <c r="S36" s="167">
        <f t="shared" si="5"/>
        <v>5</v>
      </c>
      <c r="T36" s="167">
        <f t="shared" si="5"/>
        <v>11</v>
      </c>
      <c r="U36" s="98">
        <f t="shared" si="5"/>
        <v>7</v>
      </c>
      <c r="V36" s="103">
        <f>AVERAGE(V37:V50)</f>
        <v>15.357142857142858</v>
      </c>
    </row>
    <row r="37" spans="1:23" s="102" customFormat="1" x14ac:dyDescent="0.2">
      <c r="A37" s="98">
        <v>1</v>
      </c>
      <c r="B37" s="152" t="s">
        <v>52</v>
      </c>
      <c r="C37" s="132" t="s">
        <v>99</v>
      </c>
      <c r="D37" s="132"/>
      <c r="E37" s="42" t="s">
        <v>99</v>
      </c>
      <c r="F37" s="132" t="s">
        <v>99</v>
      </c>
      <c r="G37" s="132" t="s">
        <v>99</v>
      </c>
      <c r="H37" s="132" t="s">
        <v>99</v>
      </c>
      <c r="I37" s="132" t="s">
        <v>99</v>
      </c>
      <c r="J37" s="132" t="s">
        <v>99</v>
      </c>
      <c r="K37" s="42" t="s">
        <v>99</v>
      </c>
      <c r="L37" s="132"/>
      <c r="M37" s="132" t="s">
        <v>99</v>
      </c>
      <c r="N37" s="132" t="s">
        <v>99</v>
      </c>
      <c r="O37" s="132"/>
      <c r="P37" s="132" t="s">
        <v>99</v>
      </c>
      <c r="Q37" s="132" t="s">
        <v>99</v>
      </c>
      <c r="R37" s="132" t="s">
        <v>99</v>
      </c>
      <c r="S37" s="132"/>
      <c r="T37" s="132" t="s">
        <v>99</v>
      </c>
      <c r="U37" s="42"/>
      <c r="V37" s="133">
        <f t="shared" ref="V37:V50" si="6">COUNTIF(C37:U37,"X")</f>
        <v>14</v>
      </c>
      <c r="W37" s="102">
        <f>COUNTIF($V$37:$V$50,"15")</f>
        <v>3</v>
      </c>
    </row>
    <row r="38" spans="1:23" s="102" customFormat="1" x14ac:dyDescent="0.2">
      <c r="A38" s="98">
        <v>2</v>
      </c>
      <c r="B38" s="153" t="s">
        <v>50</v>
      </c>
      <c r="C38" s="149" t="s">
        <v>99</v>
      </c>
      <c r="D38" s="132"/>
      <c r="E38" s="132" t="s">
        <v>99</v>
      </c>
      <c r="F38" s="132" t="s">
        <v>99</v>
      </c>
      <c r="G38" s="42" t="s">
        <v>99</v>
      </c>
      <c r="H38" s="42" t="s">
        <v>99</v>
      </c>
      <c r="I38" s="132" t="s">
        <v>99</v>
      </c>
      <c r="J38" s="132" t="s">
        <v>99</v>
      </c>
      <c r="K38" s="132" t="s">
        <v>99</v>
      </c>
      <c r="L38" s="132" t="s">
        <v>99</v>
      </c>
      <c r="M38" s="132" t="s">
        <v>99</v>
      </c>
      <c r="N38" s="132" t="s">
        <v>99</v>
      </c>
      <c r="O38" s="132" t="s">
        <v>99</v>
      </c>
      <c r="P38" s="132" t="s">
        <v>99</v>
      </c>
      <c r="Q38" s="42" t="s">
        <v>99</v>
      </c>
      <c r="R38" s="132" t="s">
        <v>99</v>
      </c>
      <c r="S38" s="132" t="s">
        <v>99</v>
      </c>
      <c r="T38" s="132" t="s">
        <v>99</v>
      </c>
      <c r="U38" s="132"/>
      <c r="V38" s="133">
        <f t="shared" si="6"/>
        <v>17</v>
      </c>
      <c r="W38" s="102">
        <f>COUNTIF($V$37:$V$50,"16")</f>
        <v>4</v>
      </c>
    </row>
    <row r="39" spans="1:23" s="102" customFormat="1" x14ac:dyDescent="0.2">
      <c r="A39" s="98">
        <v>3</v>
      </c>
      <c r="B39" s="152" t="s">
        <v>47</v>
      </c>
      <c r="C39" s="132" t="s">
        <v>99</v>
      </c>
      <c r="D39" s="132"/>
      <c r="E39" s="132" t="s">
        <v>99</v>
      </c>
      <c r="F39" s="132" t="s">
        <v>99</v>
      </c>
      <c r="G39" s="132" t="s">
        <v>99</v>
      </c>
      <c r="H39" s="132" t="s">
        <v>99</v>
      </c>
      <c r="I39" s="132" t="s">
        <v>99</v>
      </c>
      <c r="J39" s="132" t="s">
        <v>99</v>
      </c>
      <c r="K39" s="132" t="s">
        <v>99</v>
      </c>
      <c r="L39" s="132" t="s">
        <v>99</v>
      </c>
      <c r="M39" s="132" t="s">
        <v>99</v>
      </c>
      <c r="N39" s="132" t="s">
        <v>99</v>
      </c>
      <c r="O39" s="132" t="s">
        <v>99</v>
      </c>
      <c r="P39" s="132" t="s">
        <v>99</v>
      </c>
      <c r="Q39" s="42" t="s">
        <v>99</v>
      </c>
      <c r="R39" s="132" t="s">
        <v>99</v>
      </c>
      <c r="S39" s="132" t="s">
        <v>99</v>
      </c>
      <c r="T39" s="132" t="s">
        <v>99</v>
      </c>
      <c r="U39" s="132" t="s">
        <v>99</v>
      </c>
      <c r="V39" s="133">
        <f t="shared" si="6"/>
        <v>18</v>
      </c>
      <c r="W39" s="102">
        <f>COUNTIF($V$37:$V$50,"17")</f>
        <v>2</v>
      </c>
    </row>
    <row r="40" spans="1:23" s="102" customFormat="1" x14ac:dyDescent="0.2">
      <c r="A40" s="98">
        <v>4</v>
      </c>
      <c r="B40" s="153" t="s">
        <v>49</v>
      </c>
      <c r="C40" s="149" t="s">
        <v>99</v>
      </c>
      <c r="D40" s="132"/>
      <c r="E40" s="42" t="s">
        <v>99</v>
      </c>
      <c r="F40" s="132" t="s">
        <v>99</v>
      </c>
      <c r="G40" s="132" t="s">
        <v>99</v>
      </c>
      <c r="H40" s="132" t="s">
        <v>99</v>
      </c>
      <c r="I40" s="132" t="s">
        <v>99</v>
      </c>
      <c r="J40" s="132" t="s">
        <v>99</v>
      </c>
      <c r="K40" s="132" t="s">
        <v>99</v>
      </c>
      <c r="L40" s="132" t="s">
        <v>99</v>
      </c>
      <c r="M40" s="132" t="s">
        <v>99</v>
      </c>
      <c r="N40" s="132" t="s">
        <v>99</v>
      </c>
      <c r="O40" s="132"/>
      <c r="P40" s="132" t="s">
        <v>99</v>
      </c>
      <c r="Q40" s="132" t="s">
        <v>99</v>
      </c>
      <c r="R40" s="132" t="s">
        <v>99</v>
      </c>
      <c r="S40" s="132"/>
      <c r="T40" s="132" t="s">
        <v>99</v>
      </c>
      <c r="U40" s="132" t="s">
        <v>99</v>
      </c>
      <c r="V40" s="133">
        <f t="shared" si="6"/>
        <v>16</v>
      </c>
      <c r="W40" s="102">
        <f>COUNTIF($V$37:$V$50,"18")</f>
        <v>1</v>
      </c>
    </row>
    <row r="41" spans="1:23" s="102" customFormat="1" x14ac:dyDescent="0.2">
      <c r="A41" s="98">
        <v>5</v>
      </c>
      <c r="B41" s="153" t="s">
        <v>59</v>
      </c>
      <c r="C41" s="149" t="s">
        <v>99</v>
      </c>
      <c r="D41" s="132"/>
      <c r="E41" s="132" t="s">
        <v>99</v>
      </c>
      <c r="F41" s="132" t="s">
        <v>99</v>
      </c>
      <c r="G41" s="132"/>
      <c r="H41" s="132" t="s">
        <v>99</v>
      </c>
      <c r="I41" s="132" t="s">
        <v>99</v>
      </c>
      <c r="J41" s="132" t="s">
        <v>99</v>
      </c>
      <c r="K41" s="132" t="s">
        <v>99</v>
      </c>
      <c r="L41" s="132" t="s">
        <v>99</v>
      </c>
      <c r="M41" s="132" t="s">
        <v>99</v>
      </c>
      <c r="N41" s="132" t="s">
        <v>99</v>
      </c>
      <c r="O41" s="132" t="s">
        <v>99</v>
      </c>
      <c r="P41" s="132" t="s">
        <v>99</v>
      </c>
      <c r="Q41" s="132" t="s">
        <v>99</v>
      </c>
      <c r="R41" s="132" t="s">
        <v>99</v>
      </c>
      <c r="S41" s="132"/>
      <c r="T41" s="132" t="s">
        <v>99</v>
      </c>
      <c r="U41" s="132"/>
      <c r="V41" s="133">
        <f t="shared" si="6"/>
        <v>15</v>
      </c>
      <c r="W41" s="102">
        <f>COUNTIF($V$37:$V$50,"19")</f>
        <v>0</v>
      </c>
    </row>
    <row r="42" spans="1:23" s="102" customFormat="1" x14ac:dyDescent="0.2">
      <c r="A42" s="98">
        <v>6</v>
      </c>
      <c r="B42" s="153" t="s">
        <v>48</v>
      </c>
      <c r="C42" s="149" t="s">
        <v>99</v>
      </c>
      <c r="D42" s="132"/>
      <c r="E42" s="132" t="s">
        <v>99</v>
      </c>
      <c r="F42" s="132" t="s">
        <v>99</v>
      </c>
      <c r="G42" s="42" t="s">
        <v>99</v>
      </c>
      <c r="H42" s="132" t="s">
        <v>99</v>
      </c>
      <c r="I42" s="132" t="s">
        <v>99</v>
      </c>
      <c r="J42" s="132" t="s">
        <v>99</v>
      </c>
      <c r="K42" s="132" t="s">
        <v>99</v>
      </c>
      <c r="L42" s="132"/>
      <c r="M42" s="132" t="s">
        <v>99</v>
      </c>
      <c r="N42" s="132" t="s">
        <v>99</v>
      </c>
      <c r="O42" s="132"/>
      <c r="P42" s="132" t="s">
        <v>99</v>
      </c>
      <c r="Q42" s="132" t="s">
        <v>99</v>
      </c>
      <c r="R42" s="132" t="s">
        <v>99</v>
      </c>
      <c r="S42" s="132" t="s">
        <v>99</v>
      </c>
      <c r="T42" s="42"/>
      <c r="U42" s="132" t="s">
        <v>99</v>
      </c>
      <c r="V42" s="133">
        <f t="shared" si="6"/>
        <v>15</v>
      </c>
    </row>
    <row r="43" spans="1:23" s="102" customFormat="1" x14ac:dyDescent="0.2">
      <c r="A43" s="98">
        <v>7</v>
      </c>
      <c r="B43" s="153" t="s">
        <v>51</v>
      </c>
      <c r="C43" s="149" t="s">
        <v>99</v>
      </c>
      <c r="D43" s="132"/>
      <c r="E43" s="132" t="s">
        <v>99</v>
      </c>
      <c r="F43" s="132" t="s">
        <v>99</v>
      </c>
      <c r="G43" s="132" t="s">
        <v>99</v>
      </c>
      <c r="H43" s="132" t="s">
        <v>99</v>
      </c>
      <c r="I43" s="132" t="s">
        <v>99</v>
      </c>
      <c r="J43" s="132" t="s">
        <v>99</v>
      </c>
      <c r="K43" s="132" t="s">
        <v>99</v>
      </c>
      <c r="L43" s="132" t="s">
        <v>99</v>
      </c>
      <c r="M43" s="132" t="s">
        <v>99</v>
      </c>
      <c r="N43" s="132" t="s">
        <v>99</v>
      </c>
      <c r="O43" s="132"/>
      <c r="P43" s="132" t="s">
        <v>99</v>
      </c>
      <c r="Q43" s="132" t="s">
        <v>99</v>
      </c>
      <c r="R43" s="132" t="s">
        <v>99</v>
      </c>
      <c r="S43" s="42" t="s">
        <v>99</v>
      </c>
      <c r="T43" s="132"/>
      <c r="U43" s="132" t="s">
        <v>99</v>
      </c>
      <c r="V43" s="133">
        <f t="shared" si="6"/>
        <v>16</v>
      </c>
    </row>
    <row r="44" spans="1:23" s="102" customFormat="1" x14ac:dyDescent="0.2">
      <c r="A44" s="98">
        <v>8</v>
      </c>
      <c r="B44" s="153" t="s">
        <v>46</v>
      </c>
      <c r="C44" s="149" t="s">
        <v>99</v>
      </c>
      <c r="D44" s="132"/>
      <c r="E44" s="132" t="s">
        <v>99</v>
      </c>
      <c r="F44" s="132" t="s">
        <v>99</v>
      </c>
      <c r="G44" s="132" t="s">
        <v>99</v>
      </c>
      <c r="H44" s="132" t="s">
        <v>99</v>
      </c>
      <c r="I44" s="132" t="s">
        <v>99</v>
      </c>
      <c r="J44" s="132" t="s">
        <v>99</v>
      </c>
      <c r="K44" s="132" t="s">
        <v>99</v>
      </c>
      <c r="L44" s="132" t="s">
        <v>99</v>
      </c>
      <c r="M44" s="132" t="s">
        <v>99</v>
      </c>
      <c r="N44" s="132" t="s">
        <v>99</v>
      </c>
      <c r="O44" s="132" t="s">
        <v>99</v>
      </c>
      <c r="P44" s="132" t="s">
        <v>99</v>
      </c>
      <c r="Q44" s="132" t="s">
        <v>99</v>
      </c>
      <c r="R44" s="132" t="s">
        <v>99</v>
      </c>
      <c r="S44" s="132"/>
      <c r="T44" s="132" t="s">
        <v>99</v>
      </c>
      <c r="U44" s="132"/>
      <c r="V44" s="133">
        <f t="shared" si="6"/>
        <v>16</v>
      </c>
    </row>
    <row r="45" spans="1:23" s="102" customFormat="1" x14ac:dyDescent="0.2">
      <c r="A45" s="98">
        <v>9</v>
      </c>
      <c r="B45" s="153" t="s">
        <v>53</v>
      </c>
      <c r="C45" s="149" t="s">
        <v>99</v>
      </c>
      <c r="D45" s="132"/>
      <c r="E45" s="132" t="s">
        <v>99</v>
      </c>
      <c r="F45" s="132" t="s">
        <v>99</v>
      </c>
      <c r="G45" s="132"/>
      <c r="H45" s="132" t="s">
        <v>99</v>
      </c>
      <c r="I45" s="132" t="s">
        <v>99</v>
      </c>
      <c r="J45" s="132" t="s">
        <v>99</v>
      </c>
      <c r="K45" s="132" t="s">
        <v>99</v>
      </c>
      <c r="L45" s="132" t="s">
        <v>99</v>
      </c>
      <c r="M45" s="132" t="s">
        <v>99</v>
      </c>
      <c r="N45" s="132" t="s">
        <v>99</v>
      </c>
      <c r="O45" s="132"/>
      <c r="P45" s="132" t="s">
        <v>99</v>
      </c>
      <c r="Q45" s="132" t="s">
        <v>99</v>
      </c>
      <c r="R45" s="132" t="s">
        <v>99</v>
      </c>
      <c r="S45" s="132"/>
      <c r="T45" s="132" t="s">
        <v>99</v>
      </c>
      <c r="U45" s="132"/>
      <c r="V45" s="133">
        <f t="shared" si="6"/>
        <v>14</v>
      </c>
    </row>
    <row r="46" spans="1:23" s="102" customFormat="1" x14ac:dyDescent="0.2">
      <c r="A46" s="98">
        <v>10</v>
      </c>
      <c r="B46" s="152" t="s">
        <v>58</v>
      </c>
      <c r="C46" s="149" t="s">
        <v>99</v>
      </c>
      <c r="D46" s="132"/>
      <c r="E46" s="42" t="s">
        <v>99</v>
      </c>
      <c r="F46" s="132" t="s">
        <v>99</v>
      </c>
      <c r="G46" s="42" t="s">
        <v>99</v>
      </c>
      <c r="H46" s="132" t="s">
        <v>99</v>
      </c>
      <c r="I46" s="132" t="s">
        <v>99</v>
      </c>
      <c r="J46" s="132" t="s">
        <v>99</v>
      </c>
      <c r="K46" s="132" t="s">
        <v>99</v>
      </c>
      <c r="L46" s="132" t="s">
        <v>99</v>
      </c>
      <c r="M46" s="132" t="s">
        <v>99</v>
      </c>
      <c r="N46" s="132" t="s">
        <v>99</v>
      </c>
      <c r="O46" s="132" t="s">
        <v>99</v>
      </c>
      <c r="P46" s="132" t="s">
        <v>99</v>
      </c>
      <c r="Q46" s="132" t="s">
        <v>99</v>
      </c>
      <c r="R46" s="132" t="s">
        <v>99</v>
      </c>
      <c r="S46" s="132" t="s">
        <v>99</v>
      </c>
      <c r="T46" s="132" t="s">
        <v>99</v>
      </c>
      <c r="U46" s="132"/>
      <c r="V46" s="133">
        <f t="shared" si="6"/>
        <v>17</v>
      </c>
    </row>
    <row r="47" spans="1:23" s="102" customFormat="1" x14ac:dyDescent="0.2">
      <c r="A47" s="98">
        <v>11</v>
      </c>
      <c r="B47" s="153" t="s">
        <v>55</v>
      </c>
      <c r="C47" s="149" t="s">
        <v>99</v>
      </c>
      <c r="D47" s="132"/>
      <c r="E47" s="132" t="s">
        <v>99</v>
      </c>
      <c r="F47" s="132" t="s">
        <v>99</v>
      </c>
      <c r="G47" s="132" t="s">
        <v>99</v>
      </c>
      <c r="H47" s="132"/>
      <c r="I47" s="132" t="s">
        <v>99</v>
      </c>
      <c r="J47" s="132" t="s">
        <v>99</v>
      </c>
      <c r="K47" s="132" t="s">
        <v>99</v>
      </c>
      <c r="L47" s="132" t="s">
        <v>99</v>
      </c>
      <c r="M47" s="132" t="s">
        <v>99</v>
      </c>
      <c r="N47" s="132" t="s">
        <v>99</v>
      </c>
      <c r="O47" s="132" t="s">
        <v>99</v>
      </c>
      <c r="P47" s="132" t="s">
        <v>99</v>
      </c>
      <c r="Q47" s="132" t="s">
        <v>99</v>
      </c>
      <c r="R47" s="132" t="s">
        <v>99</v>
      </c>
      <c r="S47" s="132"/>
      <c r="T47" s="132" t="s">
        <v>99</v>
      </c>
      <c r="U47" s="42" t="s">
        <v>99</v>
      </c>
      <c r="V47" s="133">
        <f t="shared" si="6"/>
        <v>16</v>
      </c>
    </row>
    <row r="48" spans="1:23" s="102" customFormat="1" x14ac:dyDescent="0.2">
      <c r="A48" s="98">
        <v>12</v>
      </c>
      <c r="B48" s="153" t="s">
        <v>54</v>
      </c>
      <c r="C48" s="149" t="s">
        <v>99</v>
      </c>
      <c r="D48" s="132"/>
      <c r="E48" s="132" t="s">
        <v>99</v>
      </c>
      <c r="F48" s="132" t="s">
        <v>99</v>
      </c>
      <c r="G48" s="132" t="s">
        <v>99</v>
      </c>
      <c r="H48" s="132"/>
      <c r="I48" s="132" t="s">
        <v>99</v>
      </c>
      <c r="J48" s="132" t="s">
        <v>99</v>
      </c>
      <c r="K48" s="132" t="s">
        <v>99</v>
      </c>
      <c r="L48" s="132" t="s">
        <v>99</v>
      </c>
      <c r="M48" s="132" t="s">
        <v>99</v>
      </c>
      <c r="N48" s="132" t="s">
        <v>99</v>
      </c>
      <c r="O48" s="132" t="s">
        <v>99</v>
      </c>
      <c r="P48" s="132" t="s">
        <v>99</v>
      </c>
      <c r="Q48" s="132" t="s">
        <v>99</v>
      </c>
      <c r="R48" s="132" t="s">
        <v>99</v>
      </c>
      <c r="S48" s="132"/>
      <c r="T48" s="132" t="s">
        <v>99</v>
      </c>
      <c r="U48" s="42"/>
      <c r="V48" s="133">
        <f t="shared" si="6"/>
        <v>15</v>
      </c>
    </row>
    <row r="49" spans="1:23" s="102" customFormat="1" x14ac:dyDescent="0.2">
      <c r="A49" s="98">
        <v>13</v>
      </c>
      <c r="B49" s="153" t="s">
        <v>56</v>
      </c>
      <c r="C49" s="149" t="s">
        <v>99</v>
      </c>
      <c r="D49" s="132"/>
      <c r="E49" s="132"/>
      <c r="F49" s="132" t="s">
        <v>99</v>
      </c>
      <c r="G49" s="132"/>
      <c r="H49" s="132" t="s">
        <v>99</v>
      </c>
      <c r="I49" s="132" t="s">
        <v>99</v>
      </c>
      <c r="J49" s="132" t="s">
        <v>99</v>
      </c>
      <c r="K49" s="132"/>
      <c r="L49" s="132" t="s">
        <v>99</v>
      </c>
      <c r="M49" s="132" t="s">
        <v>99</v>
      </c>
      <c r="N49" s="132" t="s">
        <v>99</v>
      </c>
      <c r="O49" s="132"/>
      <c r="P49" s="132" t="s">
        <v>99</v>
      </c>
      <c r="Q49" s="132" t="s">
        <v>99</v>
      </c>
      <c r="R49" s="132" t="s">
        <v>99</v>
      </c>
      <c r="S49" s="132"/>
      <c r="T49" s="132" t="s">
        <v>99</v>
      </c>
      <c r="U49" s="132" t="s">
        <v>99</v>
      </c>
      <c r="V49" s="133">
        <f t="shared" si="6"/>
        <v>13</v>
      </c>
    </row>
    <row r="50" spans="1:23" s="102" customFormat="1" x14ac:dyDescent="0.2">
      <c r="A50" s="98">
        <v>14</v>
      </c>
      <c r="B50" s="153" t="s">
        <v>57</v>
      </c>
      <c r="C50" s="149" t="s">
        <v>99</v>
      </c>
      <c r="D50" s="132"/>
      <c r="E50" s="132"/>
      <c r="F50" s="132" t="s">
        <v>99</v>
      </c>
      <c r="G50" s="132"/>
      <c r="H50" s="132"/>
      <c r="I50" s="132" t="s">
        <v>99</v>
      </c>
      <c r="J50" s="132" t="s">
        <v>99</v>
      </c>
      <c r="K50" s="132" t="s">
        <v>99</v>
      </c>
      <c r="L50" s="132" t="s">
        <v>99</v>
      </c>
      <c r="M50" s="132" t="s">
        <v>99</v>
      </c>
      <c r="N50" s="132" t="s">
        <v>99</v>
      </c>
      <c r="O50" s="132" t="s">
        <v>99</v>
      </c>
      <c r="P50" s="132" t="s">
        <v>99</v>
      </c>
      <c r="Q50" s="42" t="s">
        <v>99</v>
      </c>
      <c r="R50" s="132" t="s">
        <v>99</v>
      </c>
      <c r="S50" s="132"/>
      <c r="T50" s="132"/>
      <c r="U50" s="132" t="s">
        <v>99</v>
      </c>
      <c r="V50" s="133">
        <f t="shared" si="6"/>
        <v>13</v>
      </c>
    </row>
    <row r="51" spans="1:23" s="104" customFormat="1" x14ac:dyDescent="0.2">
      <c r="A51" s="318" t="s">
        <v>60</v>
      </c>
      <c r="B51" s="312"/>
      <c r="C51" s="167">
        <f t="shared" ref="C51:U51" si="7">COUNTIF(C52:C57,"X")</f>
        <v>6</v>
      </c>
      <c r="D51" s="167">
        <f t="shared" si="7"/>
        <v>0</v>
      </c>
      <c r="E51" s="167">
        <f t="shared" si="7"/>
        <v>6</v>
      </c>
      <c r="F51" s="167">
        <f t="shared" si="7"/>
        <v>6</v>
      </c>
      <c r="G51" s="167">
        <f t="shared" si="7"/>
        <v>0</v>
      </c>
      <c r="H51" s="167">
        <f t="shared" si="7"/>
        <v>6</v>
      </c>
      <c r="I51" s="167">
        <f t="shared" si="7"/>
        <v>6</v>
      </c>
      <c r="J51" s="167">
        <f t="shared" si="7"/>
        <v>6</v>
      </c>
      <c r="K51" s="167">
        <f t="shared" si="7"/>
        <v>6</v>
      </c>
      <c r="L51" s="167">
        <f t="shared" si="7"/>
        <v>4</v>
      </c>
      <c r="M51" s="167">
        <f t="shared" si="7"/>
        <v>6</v>
      </c>
      <c r="N51" s="167">
        <f t="shared" si="7"/>
        <v>6</v>
      </c>
      <c r="O51" s="167">
        <f t="shared" si="7"/>
        <v>1</v>
      </c>
      <c r="P51" s="167">
        <f t="shared" si="7"/>
        <v>0</v>
      </c>
      <c r="Q51" s="167">
        <f t="shared" si="7"/>
        <v>6</v>
      </c>
      <c r="R51" s="167">
        <f t="shared" si="7"/>
        <v>5</v>
      </c>
      <c r="S51" s="167">
        <f t="shared" si="7"/>
        <v>0</v>
      </c>
      <c r="T51" s="167">
        <f t="shared" si="7"/>
        <v>6</v>
      </c>
      <c r="U51" s="98">
        <f t="shared" si="7"/>
        <v>6</v>
      </c>
      <c r="V51" s="103">
        <f>AVERAGE(V52:V57)</f>
        <v>13.666666666666666</v>
      </c>
    </row>
    <row r="52" spans="1:23" s="102" customFormat="1" x14ac:dyDescent="0.2">
      <c r="A52" s="98">
        <v>1</v>
      </c>
      <c r="B52" s="100" t="s">
        <v>64</v>
      </c>
      <c r="C52" s="165" t="s">
        <v>99</v>
      </c>
      <c r="D52" s="165"/>
      <c r="E52" s="165" t="s">
        <v>99</v>
      </c>
      <c r="F52" s="165" t="s">
        <v>99</v>
      </c>
      <c r="G52" s="165"/>
      <c r="H52" s="165" t="s">
        <v>99</v>
      </c>
      <c r="I52" s="165" t="s">
        <v>99</v>
      </c>
      <c r="J52" s="165" t="s">
        <v>99</v>
      </c>
      <c r="K52" s="165" t="s">
        <v>99</v>
      </c>
      <c r="L52" s="165"/>
      <c r="M52" s="165" t="s">
        <v>99</v>
      </c>
      <c r="N52" s="165" t="s">
        <v>99</v>
      </c>
      <c r="O52" s="165" t="s">
        <v>99</v>
      </c>
      <c r="P52" s="165"/>
      <c r="Q52" s="165" t="s">
        <v>99</v>
      </c>
      <c r="R52" s="165" t="s">
        <v>99</v>
      </c>
      <c r="S52" s="165"/>
      <c r="T52" s="165" t="s">
        <v>99</v>
      </c>
      <c r="U52" s="101" t="s">
        <v>99</v>
      </c>
      <c r="V52" s="98">
        <f t="shared" ref="V52:V57" si="8">COUNTIF(C52:U52,"X")</f>
        <v>14</v>
      </c>
    </row>
    <row r="53" spans="1:23" s="102" customFormat="1" x14ac:dyDescent="0.2">
      <c r="A53" s="98">
        <v>2</v>
      </c>
      <c r="B53" s="100" t="s">
        <v>62</v>
      </c>
      <c r="C53" s="165" t="s">
        <v>99</v>
      </c>
      <c r="D53" s="165"/>
      <c r="E53" s="165" t="s">
        <v>99</v>
      </c>
      <c r="F53" s="165" t="s">
        <v>99</v>
      </c>
      <c r="G53" s="165"/>
      <c r="H53" s="165" t="s">
        <v>99</v>
      </c>
      <c r="I53" s="165" t="s">
        <v>99</v>
      </c>
      <c r="J53" s="165" t="s">
        <v>99</v>
      </c>
      <c r="K53" s="165" t="s">
        <v>99</v>
      </c>
      <c r="L53" s="165"/>
      <c r="M53" s="165" t="s">
        <v>99</v>
      </c>
      <c r="N53" s="165" t="s">
        <v>99</v>
      </c>
      <c r="O53" s="165"/>
      <c r="P53" s="165"/>
      <c r="Q53" s="165" t="s">
        <v>99</v>
      </c>
      <c r="R53" s="165" t="s">
        <v>99</v>
      </c>
      <c r="S53" s="165"/>
      <c r="T53" s="165" t="s">
        <v>99</v>
      </c>
      <c r="U53" s="101" t="s">
        <v>99</v>
      </c>
      <c r="V53" s="98">
        <f t="shared" si="8"/>
        <v>13</v>
      </c>
      <c r="W53" s="146"/>
    </row>
    <row r="54" spans="1:23" s="102" customFormat="1" x14ac:dyDescent="0.2">
      <c r="A54" s="98">
        <v>3</v>
      </c>
      <c r="B54" s="100" t="s">
        <v>61</v>
      </c>
      <c r="C54" s="165" t="s">
        <v>99</v>
      </c>
      <c r="D54" s="165"/>
      <c r="E54" s="165" t="s">
        <v>99</v>
      </c>
      <c r="F54" s="165" t="s">
        <v>99</v>
      </c>
      <c r="G54" s="165"/>
      <c r="H54" s="165" t="s">
        <v>99</v>
      </c>
      <c r="I54" s="165" t="s">
        <v>99</v>
      </c>
      <c r="J54" s="165" t="s">
        <v>99</v>
      </c>
      <c r="K54" s="165" t="s">
        <v>99</v>
      </c>
      <c r="L54" s="165" t="s">
        <v>99</v>
      </c>
      <c r="M54" s="165" t="s">
        <v>99</v>
      </c>
      <c r="N54" s="165" t="s">
        <v>99</v>
      </c>
      <c r="O54" s="165"/>
      <c r="P54" s="165"/>
      <c r="Q54" s="165" t="s">
        <v>99</v>
      </c>
      <c r="R54" s="165" t="s">
        <v>99</v>
      </c>
      <c r="S54" s="165"/>
      <c r="T54" s="165" t="s">
        <v>99</v>
      </c>
      <c r="U54" s="101" t="s">
        <v>99</v>
      </c>
      <c r="V54" s="98">
        <f t="shared" si="8"/>
        <v>14</v>
      </c>
    </row>
    <row r="55" spans="1:23" s="102" customFormat="1" x14ac:dyDescent="0.2">
      <c r="A55" s="98">
        <v>4</v>
      </c>
      <c r="B55" s="100" t="s">
        <v>65</v>
      </c>
      <c r="C55" s="165" t="s">
        <v>99</v>
      </c>
      <c r="D55" s="165"/>
      <c r="E55" s="165" t="s">
        <v>99</v>
      </c>
      <c r="F55" s="165" t="s">
        <v>99</v>
      </c>
      <c r="G55" s="165"/>
      <c r="H55" s="165" t="s">
        <v>99</v>
      </c>
      <c r="I55" s="165" t="s">
        <v>99</v>
      </c>
      <c r="J55" s="165" t="s">
        <v>99</v>
      </c>
      <c r="K55" s="165" t="s">
        <v>99</v>
      </c>
      <c r="L55" s="165" t="s">
        <v>99</v>
      </c>
      <c r="M55" s="165" t="s">
        <v>99</v>
      </c>
      <c r="N55" s="165" t="s">
        <v>99</v>
      </c>
      <c r="O55" s="165"/>
      <c r="P55" s="165"/>
      <c r="Q55" s="165" t="s">
        <v>99</v>
      </c>
      <c r="R55" s="165" t="s">
        <v>99</v>
      </c>
      <c r="S55" s="165"/>
      <c r="T55" s="165" t="s">
        <v>99</v>
      </c>
      <c r="U55" s="101" t="s">
        <v>99</v>
      </c>
      <c r="V55" s="98">
        <f t="shared" si="8"/>
        <v>14</v>
      </c>
      <c r="W55" s="102">
        <f>COUNTIF($V$52:$V$57,"15")</f>
        <v>0</v>
      </c>
    </row>
    <row r="56" spans="1:23" s="102" customFormat="1" x14ac:dyDescent="0.2">
      <c r="A56" s="98">
        <v>5</v>
      </c>
      <c r="B56" s="100" t="s">
        <v>66</v>
      </c>
      <c r="C56" s="165" t="s">
        <v>99</v>
      </c>
      <c r="D56" s="165"/>
      <c r="E56" s="165" t="s">
        <v>99</v>
      </c>
      <c r="F56" s="165" t="s">
        <v>99</v>
      </c>
      <c r="G56" s="165"/>
      <c r="H56" s="165" t="s">
        <v>99</v>
      </c>
      <c r="I56" s="165" t="s">
        <v>99</v>
      </c>
      <c r="J56" s="165" t="s">
        <v>99</v>
      </c>
      <c r="K56" s="165" t="s">
        <v>99</v>
      </c>
      <c r="L56" s="165" t="s">
        <v>99</v>
      </c>
      <c r="M56" s="165" t="s">
        <v>99</v>
      </c>
      <c r="N56" s="165" t="s">
        <v>99</v>
      </c>
      <c r="O56" s="165"/>
      <c r="P56" s="165"/>
      <c r="Q56" s="165" t="s">
        <v>99</v>
      </c>
      <c r="R56" s="165"/>
      <c r="S56" s="165"/>
      <c r="T56" s="165" t="s">
        <v>99</v>
      </c>
      <c r="U56" s="101" t="s">
        <v>99</v>
      </c>
      <c r="V56" s="98">
        <f t="shared" si="8"/>
        <v>13</v>
      </c>
      <c r="W56" s="102">
        <f>COUNTIF($V$52:$V$57,"16")</f>
        <v>0</v>
      </c>
    </row>
    <row r="57" spans="1:23" s="102" customFormat="1" x14ac:dyDescent="0.2">
      <c r="A57" s="98">
        <v>6</v>
      </c>
      <c r="B57" s="100" t="s">
        <v>63</v>
      </c>
      <c r="C57" s="165" t="s">
        <v>99</v>
      </c>
      <c r="D57" s="165"/>
      <c r="E57" s="165" t="s">
        <v>99</v>
      </c>
      <c r="F57" s="165" t="s">
        <v>99</v>
      </c>
      <c r="G57" s="165"/>
      <c r="H57" s="165" t="s">
        <v>99</v>
      </c>
      <c r="I57" s="165" t="s">
        <v>99</v>
      </c>
      <c r="J57" s="165" t="s">
        <v>99</v>
      </c>
      <c r="K57" s="165" t="s">
        <v>99</v>
      </c>
      <c r="L57" s="165" t="s">
        <v>99</v>
      </c>
      <c r="M57" s="165" t="s">
        <v>99</v>
      </c>
      <c r="N57" s="165" t="s">
        <v>99</v>
      </c>
      <c r="O57" s="165"/>
      <c r="P57" s="165"/>
      <c r="Q57" s="165" t="s">
        <v>99</v>
      </c>
      <c r="R57" s="165" t="s">
        <v>99</v>
      </c>
      <c r="S57" s="165"/>
      <c r="T57" s="165" t="s">
        <v>99</v>
      </c>
      <c r="U57" s="101" t="s">
        <v>99</v>
      </c>
      <c r="V57" s="98">
        <f t="shared" si="8"/>
        <v>14</v>
      </c>
      <c r="W57" s="102">
        <f>COUNTIF($V$52:$V$57,"17")</f>
        <v>0</v>
      </c>
    </row>
    <row r="58" spans="1:23" s="104" customFormat="1" x14ac:dyDescent="0.2">
      <c r="A58" s="318" t="s">
        <v>67</v>
      </c>
      <c r="B58" s="312"/>
      <c r="C58" s="98">
        <f t="shared" ref="C58:T58" si="9">COUNTIF(C59:C64,"X")</f>
        <v>6</v>
      </c>
      <c r="D58" s="98">
        <f t="shared" si="9"/>
        <v>3</v>
      </c>
      <c r="E58" s="98">
        <f t="shared" si="9"/>
        <v>6</v>
      </c>
      <c r="F58" s="98">
        <f t="shared" si="9"/>
        <v>6</v>
      </c>
      <c r="G58" s="98">
        <f t="shared" si="9"/>
        <v>3</v>
      </c>
      <c r="H58" s="98">
        <f t="shared" si="9"/>
        <v>6</v>
      </c>
      <c r="I58" s="98">
        <f t="shared" si="9"/>
        <v>6</v>
      </c>
      <c r="J58" s="98">
        <f t="shared" si="9"/>
        <v>6</v>
      </c>
      <c r="K58" s="98">
        <f t="shared" si="9"/>
        <v>2</v>
      </c>
      <c r="L58" s="98">
        <f t="shared" si="9"/>
        <v>0</v>
      </c>
      <c r="M58" s="98">
        <f t="shared" si="9"/>
        <v>0</v>
      </c>
      <c r="N58" s="98">
        <f t="shared" si="9"/>
        <v>6</v>
      </c>
      <c r="O58" s="98">
        <f t="shared" si="9"/>
        <v>3</v>
      </c>
      <c r="P58" s="98">
        <f t="shared" si="9"/>
        <v>6</v>
      </c>
      <c r="Q58" s="98">
        <f t="shared" si="9"/>
        <v>6</v>
      </c>
      <c r="R58" s="98">
        <f t="shared" si="9"/>
        <v>6</v>
      </c>
      <c r="S58" s="98">
        <f t="shared" si="9"/>
        <v>4</v>
      </c>
      <c r="T58" s="98">
        <f t="shared" si="9"/>
        <v>6</v>
      </c>
      <c r="U58" s="98">
        <f>COUNTIF(U59:U64,"X")</f>
        <v>6</v>
      </c>
      <c r="V58" s="103">
        <f>AVERAGE(V59:V64)</f>
        <v>14.5</v>
      </c>
      <c r="W58" s="102">
        <f>COUNTIF($V$52:$V$57,"18")</f>
        <v>0</v>
      </c>
    </row>
    <row r="59" spans="1:23" s="102" customFormat="1" ht="15" x14ac:dyDescent="0.2">
      <c r="A59" s="98">
        <v>1</v>
      </c>
      <c r="B59" s="100" t="s">
        <v>68</v>
      </c>
      <c r="C59" s="134" t="s">
        <v>99</v>
      </c>
      <c r="D59" s="134"/>
      <c r="E59" s="134" t="s">
        <v>99</v>
      </c>
      <c r="F59" s="134" t="s">
        <v>99</v>
      </c>
      <c r="G59" s="134" t="s">
        <v>99</v>
      </c>
      <c r="H59" s="134" t="s">
        <v>99</v>
      </c>
      <c r="I59" s="134" t="s">
        <v>99</v>
      </c>
      <c r="J59" s="134" t="s">
        <v>99</v>
      </c>
      <c r="K59" s="134"/>
      <c r="L59" s="134"/>
      <c r="M59" s="134"/>
      <c r="N59" s="134" t="s">
        <v>99</v>
      </c>
      <c r="O59" s="134" t="s">
        <v>99</v>
      </c>
      <c r="P59" s="134" t="s">
        <v>99</v>
      </c>
      <c r="Q59" s="134" t="s">
        <v>99</v>
      </c>
      <c r="R59" s="134" t="s">
        <v>99</v>
      </c>
      <c r="S59" s="134" t="s">
        <v>99</v>
      </c>
      <c r="T59" s="134" t="s">
        <v>99</v>
      </c>
      <c r="U59" s="141" t="s">
        <v>99</v>
      </c>
      <c r="V59" s="135">
        <f>COUNTIF(C59:U59,"X")</f>
        <v>15</v>
      </c>
    </row>
    <row r="60" spans="1:23" s="102" customFormat="1" ht="15" x14ac:dyDescent="0.2">
      <c r="A60" s="98">
        <v>2</v>
      </c>
      <c r="B60" s="100" t="s">
        <v>69</v>
      </c>
      <c r="C60" s="134" t="s">
        <v>99</v>
      </c>
      <c r="D60" s="134"/>
      <c r="E60" s="134" t="s">
        <v>99</v>
      </c>
      <c r="F60" s="134" t="s">
        <v>99</v>
      </c>
      <c r="G60" s="134"/>
      <c r="H60" s="134" t="s">
        <v>99</v>
      </c>
      <c r="I60" s="134" t="s">
        <v>99</v>
      </c>
      <c r="J60" s="134" t="s">
        <v>99</v>
      </c>
      <c r="K60" s="134" t="s">
        <v>99</v>
      </c>
      <c r="L60" s="134"/>
      <c r="M60" s="134"/>
      <c r="N60" s="134" t="s">
        <v>99</v>
      </c>
      <c r="O60" s="134"/>
      <c r="P60" s="134" t="s">
        <v>99</v>
      </c>
      <c r="Q60" s="134" t="s">
        <v>99</v>
      </c>
      <c r="R60" s="134" t="s">
        <v>99</v>
      </c>
      <c r="S60" s="134" t="s">
        <v>99</v>
      </c>
      <c r="T60" s="134" t="s">
        <v>99</v>
      </c>
      <c r="U60" s="141" t="s">
        <v>99</v>
      </c>
      <c r="V60" s="135">
        <f>COUNTIF(C60:U60,"X")</f>
        <v>14</v>
      </c>
      <c r="W60" s="102">
        <f>COUNTIF($V$59:$V$64,"15")</f>
        <v>2</v>
      </c>
    </row>
    <row r="61" spans="1:23" s="102" customFormat="1" ht="15" x14ac:dyDescent="0.2">
      <c r="A61" s="98">
        <v>3</v>
      </c>
      <c r="B61" s="100" t="s">
        <v>71</v>
      </c>
      <c r="C61" s="134" t="s">
        <v>99</v>
      </c>
      <c r="D61" s="134"/>
      <c r="E61" s="134" t="s">
        <v>99</v>
      </c>
      <c r="F61" s="134" t="s">
        <v>99</v>
      </c>
      <c r="G61" s="134"/>
      <c r="H61" s="134" t="s">
        <v>99</v>
      </c>
      <c r="I61" s="134" t="s">
        <v>99</v>
      </c>
      <c r="J61" s="134" t="s">
        <v>99</v>
      </c>
      <c r="K61" s="134"/>
      <c r="L61" s="134"/>
      <c r="M61" s="134"/>
      <c r="N61" s="134" t="s">
        <v>99</v>
      </c>
      <c r="O61" s="134" t="s">
        <v>99</v>
      </c>
      <c r="P61" s="134" t="s">
        <v>99</v>
      </c>
      <c r="Q61" s="134" t="s">
        <v>99</v>
      </c>
      <c r="R61" s="134" t="s">
        <v>99</v>
      </c>
      <c r="S61" s="134" t="s">
        <v>99</v>
      </c>
      <c r="T61" s="134" t="s">
        <v>99</v>
      </c>
      <c r="U61" s="141" t="s">
        <v>99</v>
      </c>
      <c r="V61" s="135">
        <f t="shared" ref="V61:V64" si="10">COUNTIF(C61:U61,"X")</f>
        <v>14</v>
      </c>
      <c r="W61" s="102">
        <f>COUNTIF($V$59:$V$64,"16")</f>
        <v>1</v>
      </c>
    </row>
    <row r="62" spans="1:23" s="102" customFormat="1" ht="15" x14ac:dyDescent="0.2">
      <c r="A62" s="98">
        <v>4</v>
      </c>
      <c r="B62" s="100" t="s">
        <v>70</v>
      </c>
      <c r="C62" s="134" t="s">
        <v>99</v>
      </c>
      <c r="D62" s="134" t="s">
        <v>99</v>
      </c>
      <c r="E62" s="134" t="s">
        <v>99</v>
      </c>
      <c r="F62" s="134" t="s">
        <v>99</v>
      </c>
      <c r="G62" s="134"/>
      <c r="H62" s="134" t="s">
        <v>99</v>
      </c>
      <c r="I62" s="134" t="s">
        <v>99</v>
      </c>
      <c r="J62" s="134" t="s">
        <v>99</v>
      </c>
      <c r="K62" s="134"/>
      <c r="L62" s="134"/>
      <c r="M62" s="134"/>
      <c r="N62" s="134" t="s">
        <v>99</v>
      </c>
      <c r="O62" s="134"/>
      <c r="P62" s="134" t="s">
        <v>99</v>
      </c>
      <c r="Q62" s="134" t="s">
        <v>99</v>
      </c>
      <c r="R62" s="134" t="s">
        <v>99</v>
      </c>
      <c r="S62" s="134"/>
      <c r="T62" s="134" t="s">
        <v>99</v>
      </c>
      <c r="U62" s="134" t="s">
        <v>99</v>
      </c>
      <c r="V62" s="135">
        <f>COUNTIF(C62:U62,"X")</f>
        <v>13</v>
      </c>
      <c r="W62" s="102">
        <f>COUNTIF($V$59:$V$64,"17")</f>
        <v>0</v>
      </c>
    </row>
    <row r="63" spans="1:23" s="102" customFormat="1" ht="15" x14ac:dyDescent="0.2">
      <c r="A63" s="98">
        <v>5</v>
      </c>
      <c r="B63" s="100" t="s">
        <v>72</v>
      </c>
      <c r="C63" s="134" t="s">
        <v>99</v>
      </c>
      <c r="D63" s="134" t="s">
        <v>99</v>
      </c>
      <c r="E63" s="134" t="s">
        <v>99</v>
      </c>
      <c r="F63" s="134" t="s">
        <v>99</v>
      </c>
      <c r="G63" s="134" t="s">
        <v>99</v>
      </c>
      <c r="H63" s="134" t="s">
        <v>99</v>
      </c>
      <c r="I63" s="134" t="s">
        <v>99</v>
      </c>
      <c r="J63" s="134" t="s">
        <v>99</v>
      </c>
      <c r="K63" s="134"/>
      <c r="L63" s="134"/>
      <c r="M63" s="134"/>
      <c r="N63" s="134" t="s">
        <v>99</v>
      </c>
      <c r="O63" s="134"/>
      <c r="P63" s="134" t="s">
        <v>99</v>
      </c>
      <c r="Q63" s="134" t="s">
        <v>99</v>
      </c>
      <c r="R63" s="134" t="s">
        <v>99</v>
      </c>
      <c r="S63" s="134" t="s">
        <v>99</v>
      </c>
      <c r="T63" s="134" t="s">
        <v>99</v>
      </c>
      <c r="U63" s="141" t="s">
        <v>99</v>
      </c>
      <c r="V63" s="135">
        <f t="shared" si="10"/>
        <v>15</v>
      </c>
      <c r="W63" s="102">
        <f>COUNTIF($V$59:$V$64,"18")</f>
        <v>0</v>
      </c>
    </row>
    <row r="64" spans="1:23" s="102" customFormat="1" ht="15" x14ac:dyDescent="0.2">
      <c r="A64" s="98">
        <v>6</v>
      </c>
      <c r="B64" s="100" t="s">
        <v>73</v>
      </c>
      <c r="C64" s="134" t="s">
        <v>99</v>
      </c>
      <c r="D64" s="134" t="s">
        <v>99</v>
      </c>
      <c r="E64" s="134" t="s">
        <v>99</v>
      </c>
      <c r="F64" s="134" t="s">
        <v>99</v>
      </c>
      <c r="G64" s="134" t="s">
        <v>99</v>
      </c>
      <c r="H64" s="134" t="s">
        <v>99</v>
      </c>
      <c r="I64" s="134" t="s">
        <v>99</v>
      </c>
      <c r="J64" s="134" t="s">
        <v>99</v>
      </c>
      <c r="K64" s="134" t="s">
        <v>99</v>
      </c>
      <c r="L64" s="134"/>
      <c r="M64" s="134"/>
      <c r="N64" s="134" t="s">
        <v>99</v>
      </c>
      <c r="O64" s="134" t="s">
        <v>99</v>
      </c>
      <c r="P64" s="134" t="s">
        <v>99</v>
      </c>
      <c r="Q64" s="134" t="s">
        <v>99</v>
      </c>
      <c r="R64" s="134" t="s">
        <v>99</v>
      </c>
      <c r="S64" s="136"/>
      <c r="T64" s="134" t="s">
        <v>99</v>
      </c>
      <c r="U64" s="134" t="s">
        <v>99</v>
      </c>
      <c r="V64" s="135">
        <f t="shared" si="10"/>
        <v>16</v>
      </c>
      <c r="W64" s="102" t="s">
        <v>136</v>
      </c>
    </row>
    <row r="65" spans="1:24" s="106" customFormat="1" ht="23.25" customHeight="1" x14ac:dyDescent="0.3">
      <c r="A65" s="311" t="s">
        <v>142</v>
      </c>
      <c r="B65" s="312"/>
      <c r="C65" s="167">
        <f t="shared" ref="C65:U65" si="11">C4+C25+C36+C51+C58</f>
        <v>56</v>
      </c>
      <c r="D65" s="167">
        <f t="shared" si="11"/>
        <v>33</v>
      </c>
      <c r="E65" s="167">
        <f t="shared" si="11"/>
        <v>54</v>
      </c>
      <c r="F65" s="167">
        <f t="shared" si="11"/>
        <v>56</v>
      </c>
      <c r="G65" s="167">
        <f t="shared" si="11"/>
        <v>27</v>
      </c>
      <c r="H65" s="167">
        <f t="shared" si="11"/>
        <v>52</v>
      </c>
      <c r="I65" s="167">
        <f t="shared" si="11"/>
        <v>56</v>
      </c>
      <c r="J65" s="167">
        <f t="shared" si="11"/>
        <v>56</v>
      </c>
      <c r="K65" s="167">
        <f t="shared" si="11"/>
        <v>51</v>
      </c>
      <c r="L65" s="167">
        <f t="shared" si="11"/>
        <v>30</v>
      </c>
      <c r="M65" s="167">
        <f t="shared" si="11"/>
        <v>49</v>
      </c>
      <c r="N65" s="167">
        <f t="shared" si="11"/>
        <v>56</v>
      </c>
      <c r="O65" s="167">
        <f t="shared" si="11"/>
        <v>37</v>
      </c>
      <c r="P65" s="167">
        <f t="shared" si="11"/>
        <v>50</v>
      </c>
      <c r="Q65" s="167">
        <f t="shared" si="11"/>
        <v>43</v>
      </c>
      <c r="R65" s="167">
        <f t="shared" si="11"/>
        <v>54</v>
      </c>
      <c r="S65" s="167">
        <f t="shared" si="11"/>
        <v>19</v>
      </c>
      <c r="T65" s="167">
        <f t="shared" si="11"/>
        <v>51</v>
      </c>
      <c r="U65" s="98">
        <f t="shared" si="11"/>
        <v>49</v>
      </c>
      <c r="V65" s="155">
        <f>(SUM(V61:V64)+SUM(V52:V57)+SUM(V37:V50)+SUM(V26:V35)+SUM(V5:V24))/56</f>
        <v>15.178571428571429</v>
      </c>
      <c r="W65" s="105"/>
      <c r="X65" s="137"/>
    </row>
    <row r="66" spans="1:24" s="107" customFormat="1" ht="15.75" x14ac:dyDescent="0.2">
      <c r="A66" s="313" t="s">
        <v>143</v>
      </c>
      <c r="B66" s="314"/>
      <c r="C66" s="144">
        <f t="shared" ref="C66:U66" si="12">100*C65/56</f>
        <v>100</v>
      </c>
      <c r="D66" s="145">
        <f t="shared" si="12"/>
        <v>58.928571428571431</v>
      </c>
      <c r="E66" s="145">
        <f t="shared" si="12"/>
        <v>96.428571428571431</v>
      </c>
      <c r="F66" s="144">
        <f t="shared" si="12"/>
        <v>100</v>
      </c>
      <c r="G66" s="145">
        <f t="shared" si="12"/>
        <v>48.214285714285715</v>
      </c>
      <c r="H66" s="145">
        <f t="shared" si="12"/>
        <v>92.857142857142861</v>
      </c>
      <c r="I66" s="144">
        <f t="shared" si="12"/>
        <v>100</v>
      </c>
      <c r="J66" s="144">
        <f t="shared" si="12"/>
        <v>100</v>
      </c>
      <c r="K66" s="145">
        <f t="shared" si="12"/>
        <v>91.071428571428569</v>
      </c>
      <c r="L66" s="145">
        <f t="shared" si="12"/>
        <v>53.571428571428569</v>
      </c>
      <c r="M66" s="144">
        <f t="shared" si="12"/>
        <v>87.5</v>
      </c>
      <c r="N66" s="144">
        <f t="shared" si="12"/>
        <v>100</v>
      </c>
      <c r="O66" s="145">
        <f t="shared" si="12"/>
        <v>66.071428571428569</v>
      </c>
      <c r="P66" s="145">
        <f t="shared" si="12"/>
        <v>89.285714285714292</v>
      </c>
      <c r="Q66" s="145">
        <f>100*Q65/56</f>
        <v>76.785714285714292</v>
      </c>
      <c r="R66" s="144">
        <f t="shared" si="12"/>
        <v>96.428571428571431</v>
      </c>
      <c r="S66" s="145">
        <f t="shared" si="12"/>
        <v>33.928571428571431</v>
      </c>
      <c r="T66" s="145">
        <f t="shared" si="12"/>
        <v>91.071428571428569</v>
      </c>
      <c r="U66" s="143">
        <f t="shared" si="12"/>
        <v>87.5</v>
      </c>
      <c r="V66" s="142"/>
    </row>
    <row r="67" spans="1:24" s="107" customFormat="1" ht="15" x14ac:dyDescent="0.2">
      <c r="A67" s="315" t="s">
        <v>189</v>
      </c>
      <c r="B67" s="316"/>
      <c r="C67" s="316"/>
      <c r="D67" s="316"/>
      <c r="E67" s="316"/>
      <c r="F67" s="316"/>
      <c r="G67" s="316"/>
      <c r="H67" s="316"/>
      <c r="I67" s="316"/>
      <c r="J67" s="316"/>
      <c r="K67" s="316"/>
      <c r="L67" s="316"/>
      <c r="M67" s="316"/>
      <c r="N67" s="316"/>
      <c r="O67" s="316"/>
      <c r="P67" s="316"/>
      <c r="Q67" s="316"/>
      <c r="R67" s="316"/>
      <c r="S67" s="316"/>
      <c r="T67" s="316"/>
      <c r="U67" s="316"/>
      <c r="V67" s="317"/>
    </row>
    <row r="68" spans="1:24" ht="8.25" customHeight="1" x14ac:dyDescent="0.3">
      <c r="K68" s="108"/>
      <c r="L68" s="108"/>
      <c r="M68" s="109"/>
      <c r="N68" s="109"/>
      <c r="O68" s="108"/>
      <c r="P68" s="108"/>
      <c r="Q68" s="108"/>
      <c r="R68" s="108"/>
      <c r="S68" s="108"/>
      <c r="T68" s="108"/>
      <c r="U68" s="108"/>
      <c r="V68" s="110"/>
    </row>
    <row r="69" spans="1:24" ht="24.75" customHeight="1" x14ac:dyDescent="0.2">
      <c r="C69" s="304" t="s">
        <v>76</v>
      </c>
      <c r="D69" s="304" t="s">
        <v>77</v>
      </c>
      <c r="E69" s="304"/>
      <c r="F69" s="304"/>
      <c r="G69" s="304"/>
      <c r="H69" s="319" t="s">
        <v>186</v>
      </c>
      <c r="I69" s="320"/>
      <c r="K69" s="307"/>
      <c r="L69" s="304" t="s">
        <v>76</v>
      </c>
      <c r="M69" s="304" t="s">
        <v>77</v>
      </c>
      <c r="N69" s="304"/>
      <c r="O69" s="304"/>
      <c r="P69" s="319" t="s">
        <v>186</v>
      </c>
      <c r="Q69" s="320"/>
      <c r="W69" s="48">
        <f>SUM(W7:W63)</f>
        <v>42</v>
      </c>
    </row>
    <row r="70" spans="1:24" ht="22.5" x14ac:dyDescent="0.2">
      <c r="C70" s="304"/>
      <c r="D70" s="304"/>
      <c r="E70" s="304"/>
      <c r="F70" s="304"/>
      <c r="G70" s="304"/>
      <c r="H70" s="163" t="s">
        <v>144</v>
      </c>
      <c r="I70" s="163" t="s">
        <v>80</v>
      </c>
      <c r="K70" s="307"/>
      <c r="L70" s="304"/>
      <c r="M70" s="304"/>
      <c r="N70" s="304"/>
      <c r="O70" s="304"/>
      <c r="P70" s="163" t="s">
        <v>144</v>
      </c>
      <c r="Q70" s="163" t="s">
        <v>80</v>
      </c>
    </row>
    <row r="71" spans="1:24" ht="15.75" x14ac:dyDescent="0.2">
      <c r="C71" s="112">
        <v>1</v>
      </c>
      <c r="D71" s="298" t="s">
        <v>145</v>
      </c>
      <c r="E71" s="299"/>
      <c r="F71" s="299"/>
      <c r="G71" s="300"/>
      <c r="H71" s="156">
        <f>COUNTIF($V$26:$V$35,1)+COUNTIF($V$37:$V$50,1)+COUNTIF($V$5:$V$24,1)+COUNTIF($V$52:$V$57,1)+COUNTIF($V$59:$V$64,1)</f>
        <v>0</v>
      </c>
      <c r="I71" s="113">
        <f t="shared" ref="I71:I89" si="13">H71/$H$90*100</f>
        <v>0</v>
      </c>
      <c r="K71" s="166"/>
      <c r="L71" s="85">
        <v>1</v>
      </c>
      <c r="M71" s="298" t="s">
        <v>146</v>
      </c>
      <c r="N71" s="299"/>
      <c r="O71" s="300"/>
      <c r="P71" s="114">
        <f>C65</f>
        <v>56</v>
      </c>
      <c r="Q71" s="113">
        <f t="shared" ref="Q71:Q89" si="14">P71/$H$90*100</f>
        <v>100</v>
      </c>
    </row>
    <row r="72" spans="1:24" ht="15.75" x14ac:dyDescent="0.2">
      <c r="C72" s="112">
        <v>2</v>
      </c>
      <c r="D72" s="298" t="s">
        <v>147</v>
      </c>
      <c r="E72" s="299"/>
      <c r="F72" s="299"/>
      <c r="G72" s="300"/>
      <c r="H72" s="114">
        <f>COUNTIF($V$26:$V$35,2)+COUNTIF($V$37:$V$50,2)+COUNTIF($V$5:$V$24,2)+COUNTIF($V$52:$V$57,2)+COUNTIF($V$59:$V$64,2)</f>
        <v>0</v>
      </c>
      <c r="I72" s="113">
        <f t="shared" si="13"/>
        <v>0</v>
      </c>
      <c r="K72" s="166"/>
      <c r="L72" s="85">
        <v>2</v>
      </c>
      <c r="M72" s="298" t="s">
        <v>148</v>
      </c>
      <c r="N72" s="299"/>
      <c r="O72" s="300"/>
      <c r="P72" s="114">
        <f>D65</f>
        <v>33</v>
      </c>
      <c r="Q72" s="113">
        <f t="shared" si="14"/>
        <v>58.928571428571431</v>
      </c>
    </row>
    <row r="73" spans="1:24" s="115" customFormat="1" ht="15.75" x14ac:dyDescent="0.2">
      <c r="C73" s="112">
        <v>3</v>
      </c>
      <c r="D73" s="298" t="s">
        <v>149</v>
      </c>
      <c r="E73" s="299"/>
      <c r="F73" s="299"/>
      <c r="G73" s="300"/>
      <c r="H73" s="114">
        <f>COUNTIF($V$26:$V$35,3)+COUNTIF($V$37:$V$50,3)+COUNTIF($V$5:$V$24,3)+COUNTIF($V$52:$V$57,3)+COUNTIF($V$59:$V$64,3)</f>
        <v>0</v>
      </c>
      <c r="I73" s="113">
        <f t="shared" si="13"/>
        <v>0</v>
      </c>
      <c r="J73" s="116"/>
      <c r="K73" s="166"/>
      <c r="L73" s="85">
        <v>3</v>
      </c>
      <c r="M73" s="298" t="s">
        <v>150</v>
      </c>
      <c r="N73" s="299"/>
      <c r="O73" s="300"/>
      <c r="P73" s="114">
        <f>E65</f>
        <v>54</v>
      </c>
      <c r="Q73" s="113">
        <f t="shared" si="14"/>
        <v>96.428571428571431</v>
      </c>
      <c r="T73" s="117"/>
    </row>
    <row r="74" spans="1:24" s="115" customFormat="1" ht="15.75" x14ac:dyDescent="0.2">
      <c r="C74" s="112">
        <v>4</v>
      </c>
      <c r="D74" s="298" t="s">
        <v>151</v>
      </c>
      <c r="E74" s="299"/>
      <c r="F74" s="299"/>
      <c r="G74" s="300"/>
      <c r="H74" s="114">
        <f>COUNTIF($V$26:$V$35,4)+COUNTIF($V$37:$V$50,4)+COUNTIF($V$5:$V$24,4)+COUNTIF($V$52:$V$57,4)+COUNTIF($V$59:$V$64,4)</f>
        <v>0</v>
      </c>
      <c r="I74" s="113">
        <f t="shared" si="13"/>
        <v>0</v>
      </c>
      <c r="J74" s="116"/>
      <c r="K74" s="166"/>
      <c r="L74" s="85">
        <v>4</v>
      </c>
      <c r="M74" s="298" t="s">
        <v>152</v>
      </c>
      <c r="N74" s="299"/>
      <c r="O74" s="300"/>
      <c r="P74" s="114">
        <f>F65</f>
        <v>56</v>
      </c>
      <c r="Q74" s="113">
        <f t="shared" si="14"/>
        <v>100</v>
      </c>
      <c r="T74" s="117"/>
    </row>
    <row r="75" spans="1:24" s="115" customFormat="1" ht="15.75" x14ac:dyDescent="0.2">
      <c r="C75" s="112">
        <v>5</v>
      </c>
      <c r="D75" s="298" t="s">
        <v>153</v>
      </c>
      <c r="E75" s="299"/>
      <c r="F75" s="299"/>
      <c r="G75" s="300"/>
      <c r="H75" s="114">
        <f>COUNTIF($V$26:$V$35,5)+COUNTIF($V$37:$V$50,5)+COUNTIF($V$5:$V$24,5)+COUNTIF($V$52:$V$57,5)+COUNTIF($V$59:$V$64,5)</f>
        <v>0</v>
      </c>
      <c r="I75" s="113">
        <f t="shared" si="13"/>
        <v>0</v>
      </c>
      <c r="J75" s="118"/>
      <c r="K75" s="166"/>
      <c r="L75" s="85">
        <v>5</v>
      </c>
      <c r="M75" s="298" t="s">
        <v>154</v>
      </c>
      <c r="N75" s="299"/>
      <c r="O75" s="300"/>
      <c r="P75" s="114">
        <f>G65</f>
        <v>27</v>
      </c>
      <c r="Q75" s="113">
        <f t="shared" si="14"/>
        <v>48.214285714285715</v>
      </c>
      <c r="T75" s="117"/>
    </row>
    <row r="76" spans="1:24" s="115" customFormat="1" ht="15.75" x14ac:dyDescent="0.2">
      <c r="C76" s="112">
        <v>6</v>
      </c>
      <c r="D76" s="298" t="s">
        <v>155</v>
      </c>
      <c r="E76" s="299"/>
      <c r="F76" s="299"/>
      <c r="G76" s="300"/>
      <c r="H76" s="114">
        <f>COUNTIF($V$26:$V$35,6)+COUNTIF($V$37:$V$50,6)+COUNTIF($V$5:$V$24,6)+COUNTIF($V$52:$V$57,6)+COUNTIF($V$59:$V$64,6)</f>
        <v>0</v>
      </c>
      <c r="I76" s="113">
        <f t="shared" si="13"/>
        <v>0</v>
      </c>
      <c r="J76" s="118"/>
      <c r="K76" s="166"/>
      <c r="L76" s="85">
        <v>6</v>
      </c>
      <c r="M76" s="298" t="s">
        <v>156</v>
      </c>
      <c r="N76" s="299"/>
      <c r="O76" s="300"/>
      <c r="P76" s="114">
        <f>H65</f>
        <v>52</v>
      </c>
      <c r="Q76" s="113">
        <f t="shared" si="14"/>
        <v>92.857142857142861</v>
      </c>
      <c r="T76" s="117"/>
    </row>
    <row r="77" spans="1:24" s="115" customFormat="1" ht="15.75" x14ac:dyDescent="0.2">
      <c r="C77" s="112">
        <v>7</v>
      </c>
      <c r="D77" s="298" t="s">
        <v>157</v>
      </c>
      <c r="E77" s="299"/>
      <c r="F77" s="299"/>
      <c r="G77" s="300"/>
      <c r="H77" s="114">
        <f>COUNTIF($V$26:$V$35,7)+COUNTIF($V$37:$V$50,7)+COUNTIF($V$5:$V$24,7)+COUNTIF($V$52:$V$57,7)+COUNTIF($V$59:$V$64,7)</f>
        <v>0</v>
      </c>
      <c r="I77" s="113">
        <f t="shared" si="13"/>
        <v>0</v>
      </c>
      <c r="J77" s="118"/>
      <c r="K77" s="166"/>
      <c r="L77" s="85">
        <v>7</v>
      </c>
      <c r="M77" s="298" t="s">
        <v>158</v>
      </c>
      <c r="N77" s="299"/>
      <c r="O77" s="300"/>
      <c r="P77" s="114">
        <f>I65</f>
        <v>56</v>
      </c>
      <c r="Q77" s="113">
        <f t="shared" si="14"/>
        <v>100</v>
      </c>
      <c r="T77" s="117"/>
    </row>
    <row r="78" spans="1:24" s="115" customFormat="1" ht="15.75" x14ac:dyDescent="0.2">
      <c r="C78" s="112">
        <v>8</v>
      </c>
      <c r="D78" s="298" t="s">
        <v>159</v>
      </c>
      <c r="E78" s="299"/>
      <c r="F78" s="299"/>
      <c r="G78" s="300"/>
      <c r="H78" s="114">
        <f>COUNTIF($V$26:$V$35,8)+COUNTIF($V$37:$V$50,8)+COUNTIF($V$5:$V$24,8)+COUNTIF($V$52:$V$57,8)+COUNTIF($V$59:$V$64,8)</f>
        <v>0</v>
      </c>
      <c r="I78" s="113">
        <f t="shared" si="13"/>
        <v>0</v>
      </c>
      <c r="J78" s="118"/>
      <c r="K78" s="166"/>
      <c r="L78" s="85">
        <v>8</v>
      </c>
      <c r="M78" s="298" t="s">
        <v>160</v>
      </c>
      <c r="N78" s="299"/>
      <c r="O78" s="300"/>
      <c r="P78" s="114">
        <f>J65</f>
        <v>56</v>
      </c>
      <c r="Q78" s="113">
        <f t="shared" si="14"/>
        <v>100</v>
      </c>
      <c r="T78" s="117"/>
    </row>
    <row r="79" spans="1:24" s="115" customFormat="1" ht="15.75" x14ac:dyDescent="0.2">
      <c r="C79" s="112">
        <v>9</v>
      </c>
      <c r="D79" s="298" t="s">
        <v>161</v>
      </c>
      <c r="E79" s="299"/>
      <c r="F79" s="299"/>
      <c r="G79" s="300"/>
      <c r="H79" s="114">
        <f>COUNTIF($V$26:$V$35,9)+COUNTIF($V$37:$V$50,9)+COUNTIF($V$5:$V$24,9)+COUNTIF($V$52:$V$57,9)+COUNTIF($V$59:$V$64,9)</f>
        <v>0</v>
      </c>
      <c r="I79" s="113">
        <f t="shared" si="13"/>
        <v>0</v>
      </c>
      <c r="J79" s="116"/>
      <c r="K79" s="166"/>
      <c r="L79" s="85">
        <v>9</v>
      </c>
      <c r="M79" s="298" t="s">
        <v>162</v>
      </c>
      <c r="N79" s="299"/>
      <c r="O79" s="300"/>
      <c r="P79" s="114">
        <f>K65</f>
        <v>51</v>
      </c>
      <c r="Q79" s="113">
        <f t="shared" si="14"/>
        <v>91.071428571428569</v>
      </c>
      <c r="T79" s="117"/>
    </row>
    <row r="80" spans="1:24" s="115" customFormat="1" ht="15.75" x14ac:dyDescent="0.2">
      <c r="C80" s="112">
        <v>10</v>
      </c>
      <c r="D80" s="298" t="s">
        <v>163</v>
      </c>
      <c r="E80" s="299"/>
      <c r="F80" s="299"/>
      <c r="G80" s="300"/>
      <c r="H80" s="114">
        <f>COUNTIF($V$26:$V$35,10)+COUNTIF($V$37:$V$50,10)+COUNTIF($V$5:$V$24,10)+COUNTIF($V$52:$V$57,10)+COUNTIF($V$59:$V$64,10)</f>
        <v>0</v>
      </c>
      <c r="I80" s="113">
        <f t="shared" si="13"/>
        <v>0</v>
      </c>
      <c r="J80" s="116"/>
      <c r="K80" s="166"/>
      <c r="L80" s="85">
        <v>10</v>
      </c>
      <c r="M80" s="298" t="s">
        <v>164</v>
      </c>
      <c r="N80" s="299"/>
      <c r="O80" s="300"/>
      <c r="P80" s="114">
        <f>L65</f>
        <v>30</v>
      </c>
      <c r="Q80" s="113">
        <f t="shared" si="14"/>
        <v>53.571428571428569</v>
      </c>
      <c r="T80" s="117"/>
    </row>
    <row r="81" spans="3:20" s="115" customFormat="1" ht="15.75" x14ac:dyDescent="0.2">
      <c r="C81" s="112">
        <v>11</v>
      </c>
      <c r="D81" s="298" t="s">
        <v>165</v>
      </c>
      <c r="E81" s="299"/>
      <c r="F81" s="299"/>
      <c r="G81" s="300"/>
      <c r="H81" s="114">
        <f>COUNTIF($V$26:$V$35,11)+COUNTIF($V$37:$V$50,11)+COUNTIF($V$5:$V$24,11)+COUNTIF($V$52:$V$57,11)+COUNTIF($V$59:$V$64,11)</f>
        <v>0</v>
      </c>
      <c r="I81" s="113">
        <f t="shared" si="13"/>
        <v>0</v>
      </c>
      <c r="J81" s="116"/>
      <c r="K81" s="166"/>
      <c r="L81" s="85">
        <v>11</v>
      </c>
      <c r="M81" s="298" t="s">
        <v>166</v>
      </c>
      <c r="N81" s="299"/>
      <c r="O81" s="300"/>
      <c r="P81" s="114">
        <f>M65</f>
        <v>49</v>
      </c>
      <c r="Q81" s="113">
        <f t="shared" si="14"/>
        <v>87.5</v>
      </c>
      <c r="T81" s="117"/>
    </row>
    <row r="82" spans="3:20" s="115" customFormat="1" ht="15.75" x14ac:dyDescent="0.2">
      <c r="C82" s="112">
        <v>12</v>
      </c>
      <c r="D82" s="298" t="s">
        <v>167</v>
      </c>
      <c r="E82" s="299"/>
      <c r="F82" s="299"/>
      <c r="G82" s="300"/>
      <c r="H82" s="114">
        <f>COUNTIF($V$26:$V$35,12)+COUNTIF($V$37:$V$50,12)+COUNTIF($V$5:$V$24,12)+COUNTIF($V$52:$V$57,12)+COUNTIF($V$59:$V$64,12)</f>
        <v>0</v>
      </c>
      <c r="I82" s="113">
        <f t="shared" si="13"/>
        <v>0</v>
      </c>
      <c r="J82" s="116"/>
      <c r="K82" s="166"/>
      <c r="L82" s="85">
        <v>12</v>
      </c>
      <c r="M82" s="298" t="s">
        <v>168</v>
      </c>
      <c r="N82" s="299"/>
      <c r="O82" s="300"/>
      <c r="P82" s="114">
        <f>N65</f>
        <v>56</v>
      </c>
      <c r="Q82" s="113">
        <f t="shared" si="14"/>
        <v>100</v>
      </c>
      <c r="T82" s="117"/>
    </row>
    <row r="83" spans="3:20" s="115" customFormat="1" ht="15.75" x14ac:dyDescent="0.2">
      <c r="C83" s="112">
        <v>13</v>
      </c>
      <c r="D83" s="298" t="s">
        <v>169</v>
      </c>
      <c r="E83" s="299"/>
      <c r="F83" s="299"/>
      <c r="G83" s="300"/>
      <c r="H83" s="114">
        <f>COUNTIF($V$26:$V$35,13)+COUNTIF($V$37:$V$50,13)+COUNTIF($V$5:$V$24,13)+COUNTIF($V$52:$V$57,13)+COUNTIF($V$59:$V$64,13)</f>
        <v>5</v>
      </c>
      <c r="I83" s="113">
        <f t="shared" si="13"/>
        <v>8.9285714285714288</v>
      </c>
      <c r="J83" s="116"/>
      <c r="K83" s="166"/>
      <c r="L83" s="85">
        <v>13</v>
      </c>
      <c r="M83" s="298" t="s">
        <v>170</v>
      </c>
      <c r="N83" s="299"/>
      <c r="O83" s="300"/>
      <c r="P83" s="114">
        <f>O65</f>
        <v>37</v>
      </c>
      <c r="Q83" s="113">
        <f t="shared" si="14"/>
        <v>66.071428571428569</v>
      </c>
      <c r="T83" s="117"/>
    </row>
    <row r="84" spans="3:20" s="115" customFormat="1" ht="15.75" x14ac:dyDescent="0.2">
      <c r="C84" s="112">
        <v>14</v>
      </c>
      <c r="D84" s="298" t="s">
        <v>171</v>
      </c>
      <c r="E84" s="299"/>
      <c r="F84" s="299"/>
      <c r="G84" s="300"/>
      <c r="H84" s="114">
        <f>COUNTIF($V$26:$V$35,14)+COUNTIF($V$37:$V$50,14)+COUNTIF($V$5:$V$24,14)+COUNTIF($V$52:$V$57,14)+COUNTIF($V$59:$V$64,14)</f>
        <v>9</v>
      </c>
      <c r="I84" s="113">
        <f t="shared" si="13"/>
        <v>16.071428571428573</v>
      </c>
      <c r="J84" s="116"/>
      <c r="K84" s="166"/>
      <c r="L84" s="85">
        <v>14</v>
      </c>
      <c r="M84" s="298" t="s">
        <v>172</v>
      </c>
      <c r="N84" s="299"/>
      <c r="O84" s="300"/>
      <c r="P84" s="114">
        <f>P65</f>
        <v>50</v>
      </c>
      <c r="Q84" s="113">
        <f t="shared" si="14"/>
        <v>89.285714285714292</v>
      </c>
      <c r="T84" s="117"/>
    </row>
    <row r="85" spans="3:20" s="115" customFormat="1" ht="15.75" x14ac:dyDescent="0.2">
      <c r="C85" s="112">
        <v>15</v>
      </c>
      <c r="D85" s="298" t="s">
        <v>173</v>
      </c>
      <c r="E85" s="299"/>
      <c r="F85" s="299"/>
      <c r="G85" s="300"/>
      <c r="H85" s="114">
        <f>COUNTIF($V$26:$V$35,15)+COUNTIF($V$37:$V$50,15)+COUNTIF($V$5:$V$24,15)+COUNTIF($V$52:$V$57,15)+COUNTIF($V$59:$V$64,15)</f>
        <v>10</v>
      </c>
      <c r="I85" s="113">
        <f t="shared" si="13"/>
        <v>17.857142857142858</v>
      </c>
      <c r="J85" s="157"/>
      <c r="K85" s="166"/>
      <c r="L85" s="85">
        <v>15</v>
      </c>
      <c r="M85" s="298" t="s">
        <v>174</v>
      </c>
      <c r="N85" s="299"/>
      <c r="O85" s="300"/>
      <c r="P85" s="114">
        <f>Q65</f>
        <v>43</v>
      </c>
      <c r="Q85" s="113">
        <f t="shared" si="14"/>
        <v>76.785714285714292</v>
      </c>
      <c r="T85" s="117"/>
    </row>
    <row r="86" spans="3:20" s="115" customFormat="1" ht="15.75" x14ac:dyDescent="0.2">
      <c r="C86" s="112">
        <v>16</v>
      </c>
      <c r="D86" s="298" t="s">
        <v>175</v>
      </c>
      <c r="E86" s="299"/>
      <c r="F86" s="299"/>
      <c r="G86" s="300"/>
      <c r="H86" s="114">
        <f>COUNTIF($V$26:$V$35,16)+COUNTIF($V$37:$V$50,16)+COUNTIF($V$5:$V$24,16)+COUNTIF($V$52:$V$57,16)+COUNTIF($V$59:$V$64,16)</f>
        <v>13</v>
      </c>
      <c r="I86" s="113">
        <f t="shared" si="13"/>
        <v>23.214285714285715</v>
      </c>
      <c r="J86" s="116"/>
      <c r="K86" s="166"/>
      <c r="L86" s="85">
        <v>16</v>
      </c>
      <c r="M86" s="298" t="s">
        <v>176</v>
      </c>
      <c r="N86" s="299"/>
      <c r="O86" s="300"/>
      <c r="P86" s="114">
        <f>R65</f>
        <v>54</v>
      </c>
      <c r="Q86" s="113">
        <f t="shared" si="14"/>
        <v>96.428571428571431</v>
      </c>
      <c r="T86" s="117"/>
    </row>
    <row r="87" spans="3:20" s="115" customFormat="1" ht="15.75" x14ac:dyDescent="0.2">
      <c r="C87" s="112">
        <v>17</v>
      </c>
      <c r="D87" s="298" t="s">
        <v>177</v>
      </c>
      <c r="E87" s="299"/>
      <c r="F87" s="299"/>
      <c r="G87" s="300"/>
      <c r="H87" s="114">
        <f>COUNTIF($V$26:$V$35,17)+COUNTIF($V$37:$V$50,17)+COUNTIF($V$5:$V$24,17)+COUNTIF($V$52:$V$57,17)+COUNTIF($V$59:$V$64,17)</f>
        <v>12</v>
      </c>
      <c r="I87" s="113">
        <f t="shared" si="13"/>
        <v>21.428571428571427</v>
      </c>
      <c r="J87" s="157">
        <f>H85+H86+H87+H88</f>
        <v>42</v>
      </c>
      <c r="K87" s="166"/>
      <c r="L87" s="85">
        <v>17</v>
      </c>
      <c r="M87" s="298" t="s">
        <v>178</v>
      </c>
      <c r="N87" s="299"/>
      <c r="O87" s="300"/>
      <c r="P87" s="114">
        <f>S65</f>
        <v>19</v>
      </c>
      <c r="Q87" s="113">
        <f t="shared" si="14"/>
        <v>33.928571428571431</v>
      </c>
      <c r="T87" s="117"/>
    </row>
    <row r="88" spans="3:20" s="115" customFormat="1" ht="15.75" x14ac:dyDescent="0.2">
      <c r="C88" s="112">
        <v>18</v>
      </c>
      <c r="D88" s="298" t="s">
        <v>179</v>
      </c>
      <c r="E88" s="299"/>
      <c r="F88" s="299"/>
      <c r="G88" s="300"/>
      <c r="H88" s="114">
        <f>COUNTIF($V$26:$V$35,18)+COUNTIF($V$37:$V$50,18)+COUNTIF($V$5:$V$24,18)+COUNTIF($V$52:$V$57,18)+COUNTIF($V$59:$V$64,18)</f>
        <v>7</v>
      </c>
      <c r="I88" s="113">
        <f t="shared" si="13"/>
        <v>12.5</v>
      </c>
      <c r="J88" s="116"/>
      <c r="K88" s="166"/>
      <c r="L88" s="85">
        <v>18</v>
      </c>
      <c r="M88" s="298" t="s">
        <v>180</v>
      </c>
      <c r="N88" s="299"/>
      <c r="O88" s="300"/>
      <c r="P88" s="85">
        <f>T65</f>
        <v>51</v>
      </c>
      <c r="Q88" s="113">
        <f t="shared" si="14"/>
        <v>91.071428571428569</v>
      </c>
      <c r="T88" s="117"/>
    </row>
    <row r="89" spans="3:20" s="115" customFormat="1" ht="15.75" x14ac:dyDescent="0.2">
      <c r="C89" s="112">
        <v>19</v>
      </c>
      <c r="D89" s="298" t="s">
        <v>181</v>
      </c>
      <c r="E89" s="299"/>
      <c r="F89" s="299"/>
      <c r="G89" s="300"/>
      <c r="H89" s="114">
        <f>COUNTIF($V$26:$V$35,19)+COUNTIF($V$37:$V$50,19)+COUNTIF($V$5:$V$24,19)+COUNTIF($V$52:$V$57,19)+COUNTIF($V$59:$V$64,19)</f>
        <v>0</v>
      </c>
      <c r="I89" s="113">
        <f t="shared" si="13"/>
        <v>0</v>
      </c>
      <c r="J89" s="116"/>
      <c r="K89" s="166"/>
      <c r="L89" s="85">
        <v>19</v>
      </c>
      <c r="M89" s="298" t="s">
        <v>182</v>
      </c>
      <c r="N89" s="299"/>
      <c r="O89" s="300"/>
      <c r="P89" s="85">
        <f>U65</f>
        <v>49</v>
      </c>
      <c r="Q89" s="113">
        <f t="shared" si="14"/>
        <v>87.5</v>
      </c>
      <c r="T89" s="117"/>
    </row>
    <row r="90" spans="3:20" s="115" customFormat="1" ht="15.75" x14ac:dyDescent="0.2">
      <c r="C90" s="301" t="s">
        <v>98</v>
      </c>
      <c r="D90" s="302"/>
      <c r="E90" s="302"/>
      <c r="F90" s="302"/>
      <c r="G90" s="303"/>
      <c r="H90" s="119">
        <f>SUM(H71:H89)</f>
        <v>56</v>
      </c>
      <c r="I90" s="120">
        <v>100</v>
      </c>
      <c r="J90" s="116"/>
      <c r="L90" s="121"/>
      <c r="M90" s="122"/>
      <c r="N90" s="122"/>
      <c r="O90" s="121"/>
      <c r="P90" s="123"/>
      <c r="Q90" s="124"/>
      <c r="T90" s="117"/>
    </row>
    <row r="91" spans="3:20" x14ac:dyDescent="0.2">
      <c r="L91" s="125"/>
    </row>
    <row r="92" spans="3:20" x14ac:dyDescent="0.2">
      <c r="L92" s="125"/>
      <c r="M92" s="127"/>
    </row>
    <row r="93" spans="3:20" x14ac:dyDescent="0.2">
      <c r="L93" s="125"/>
      <c r="M93" s="127"/>
    </row>
    <row r="94" spans="3:20" x14ac:dyDescent="0.2">
      <c r="I94" s="147"/>
      <c r="J94" s="147"/>
      <c r="K94" s="147"/>
      <c r="L94" s="128"/>
      <c r="M94" s="129"/>
      <c r="N94" s="130"/>
      <c r="O94" s="99"/>
      <c r="P94" s="99"/>
      <c r="Q94" s="99"/>
    </row>
    <row r="95" spans="3:20" s="99" customFormat="1" x14ac:dyDescent="0.2">
      <c r="J95" s="162"/>
      <c r="K95" s="147"/>
      <c r="L95" s="128"/>
      <c r="M95" s="129"/>
      <c r="N95" s="130"/>
    </row>
    <row r="96" spans="3:20" s="99" customFormat="1" x14ac:dyDescent="0.2">
      <c r="J96" s="104"/>
      <c r="K96" s="147"/>
      <c r="L96" s="125"/>
      <c r="M96" s="127"/>
      <c r="N96" s="126"/>
      <c r="O96" s="48"/>
      <c r="P96" s="48"/>
      <c r="Q96" s="48"/>
    </row>
    <row r="97" spans="10:17" x14ac:dyDescent="0.2">
      <c r="L97" s="125"/>
      <c r="M97" s="127"/>
    </row>
    <row r="98" spans="10:17" x14ac:dyDescent="0.2">
      <c r="L98" s="125"/>
      <c r="M98" s="127"/>
    </row>
    <row r="99" spans="10:17" x14ac:dyDescent="0.2">
      <c r="L99" s="125"/>
    </row>
    <row r="100" spans="10:17" x14ac:dyDescent="0.2">
      <c r="L100" s="128"/>
      <c r="M100" s="130"/>
      <c r="N100" s="130"/>
      <c r="O100" s="99"/>
      <c r="P100" s="99"/>
      <c r="Q100" s="99"/>
    </row>
    <row r="101" spans="10:17" s="99" customFormat="1" x14ac:dyDescent="0.2">
      <c r="J101" s="104"/>
      <c r="L101" s="128"/>
      <c r="M101" s="130"/>
      <c r="N101" s="130"/>
    </row>
    <row r="102" spans="10:17" s="99" customFormat="1" x14ac:dyDescent="0.2">
      <c r="J102" s="104"/>
      <c r="L102" s="125"/>
      <c r="M102" s="126"/>
      <c r="N102" s="126"/>
      <c r="O102" s="48"/>
      <c r="P102" s="48"/>
      <c r="Q102" s="48"/>
    </row>
    <row r="103" spans="10:17" x14ac:dyDescent="0.2">
      <c r="L103" s="125"/>
    </row>
  </sheetData>
  <mergeCells count="55">
    <mergeCell ref="D89:G89"/>
    <mergeCell ref="M89:O89"/>
    <mergeCell ref="C90:G90"/>
    <mergeCell ref="D86:G86"/>
    <mergeCell ref="M86:O86"/>
    <mergeCell ref="D87:G87"/>
    <mergeCell ref="M87:O87"/>
    <mergeCell ref="D88:G88"/>
    <mergeCell ref="M88:O88"/>
    <mergeCell ref="D83:G83"/>
    <mergeCell ref="M83:O83"/>
    <mergeCell ref="D84:G84"/>
    <mergeCell ref="M84:O84"/>
    <mergeCell ref="D85:G85"/>
    <mergeCell ref="M85:O85"/>
    <mergeCell ref="D80:G80"/>
    <mergeCell ref="M80:O80"/>
    <mergeCell ref="D81:G81"/>
    <mergeCell ref="M81:O81"/>
    <mergeCell ref="D82:G82"/>
    <mergeCell ref="M82:O82"/>
    <mergeCell ref="D77:G77"/>
    <mergeCell ref="M77:O77"/>
    <mergeCell ref="D78:G78"/>
    <mergeCell ref="M78:O78"/>
    <mergeCell ref="D79:G79"/>
    <mergeCell ref="M79:O79"/>
    <mergeCell ref="D74:G74"/>
    <mergeCell ref="M74:O74"/>
    <mergeCell ref="D75:G75"/>
    <mergeCell ref="M75:O75"/>
    <mergeCell ref="D76:G76"/>
    <mergeCell ref="M76:O76"/>
    <mergeCell ref="D71:G71"/>
    <mergeCell ref="M71:O71"/>
    <mergeCell ref="D72:G72"/>
    <mergeCell ref="M72:O72"/>
    <mergeCell ref="D73:G73"/>
    <mergeCell ref="M73:O73"/>
    <mergeCell ref="A65:B65"/>
    <mergeCell ref="A66:B66"/>
    <mergeCell ref="A67:V67"/>
    <mergeCell ref="C69:C70"/>
    <mergeCell ref="D69:G70"/>
    <mergeCell ref="H69:I69"/>
    <mergeCell ref="K69:K70"/>
    <mergeCell ref="L69:L70"/>
    <mergeCell ref="M69:O70"/>
    <mergeCell ref="P69:Q69"/>
    <mergeCell ref="A58:B58"/>
    <mergeCell ref="A1:V1"/>
    <mergeCell ref="A4:B4"/>
    <mergeCell ref="A25:B25"/>
    <mergeCell ref="A36:B36"/>
    <mergeCell ref="A51:B51"/>
  </mergeCells>
  <printOptions horizontalCentered="1"/>
  <pageMargins left="0.15748031496062992" right="0.15748031496062992" top="0.23622047244094491" bottom="7.874015748031496E-2" header="0.15748031496062992" footer="0.15748031496062992"/>
  <pageSetup paperSize="9" scale="80" fitToHeight="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workbookViewId="0">
      <selection activeCell="I3" sqref="I3"/>
    </sheetView>
  </sheetViews>
  <sheetFormatPr defaultRowHeight="12.75" x14ac:dyDescent="0.2"/>
  <cols>
    <col min="2" max="2" width="18.85546875" customWidth="1"/>
    <col min="3" max="3" width="16.28515625" customWidth="1"/>
    <col min="4" max="4" width="16.85546875" customWidth="1"/>
    <col min="5" max="5" width="37.140625" customWidth="1"/>
  </cols>
  <sheetData>
    <row r="1" spans="1:5" ht="74.25" customHeight="1" x14ac:dyDescent="0.25">
      <c r="A1" s="323" t="s">
        <v>280</v>
      </c>
      <c r="B1" s="323"/>
      <c r="C1" s="323"/>
      <c r="D1" s="323"/>
      <c r="E1" s="323"/>
    </row>
    <row r="2" spans="1:5" ht="16.5" x14ac:dyDescent="0.25">
      <c r="A2" s="214"/>
      <c r="B2" s="214"/>
      <c r="C2" s="214"/>
      <c r="D2" s="214"/>
      <c r="E2" s="214"/>
    </row>
    <row r="3" spans="1:5" s="243" customFormat="1" ht="47.25" customHeight="1" x14ac:dyDescent="0.2">
      <c r="A3" s="324" t="s">
        <v>76</v>
      </c>
      <c r="B3" s="324" t="s">
        <v>214</v>
      </c>
      <c r="C3" s="324" t="s">
        <v>215</v>
      </c>
      <c r="D3" s="324"/>
      <c r="E3" s="324"/>
    </row>
    <row r="4" spans="1:5" s="243" customFormat="1" ht="47.25" customHeight="1" x14ac:dyDescent="0.2">
      <c r="A4" s="324"/>
      <c r="B4" s="324"/>
      <c r="C4" s="325" t="s">
        <v>216</v>
      </c>
      <c r="D4" s="326"/>
      <c r="E4" s="244" t="s">
        <v>217</v>
      </c>
    </row>
    <row r="5" spans="1:5" s="243" customFormat="1" ht="47.25" customHeight="1" x14ac:dyDescent="0.2">
      <c r="A5" s="324"/>
      <c r="B5" s="324"/>
      <c r="C5" s="244" t="s">
        <v>262</v>
      </c>
      <c r="D5" s="244" t="s">
        <v>263</v>
      </c>
      <c r="E5" s="245" t="s">
        <v>272</v>
      </c>
    </row>
    <row r="6" spans="1:5" s="243" customFormat="1" ht="47.25" customHeight="1" x14ac:dyDescent="0.2">
      <c r="A6" s="246">
        <v>1</v>
      </c>
      <c r="B6" s="247" t="s">
        <v>264</v>
      </c>
      <c r="C6" s="246" t="s">
        <v>218</v>
      </c>
      <c r="D6" s="246" t="s">
        <v>219</v>
      </c>
      <c r="E6" s="246" t="s">
        <v>220</v>
      </c>
    </row>
    <row r="7" spans="1:5" s="243" customFormat="1" ht="47.25" customHeight="1" x14ac:dyDescent="0.2">
      <c r="A7" s="246">
        <v>2</v>
      </c>
      <c r="B7" s="247" t="s">
        <v>265</v>
      </c>
      <c r="C7" s="246" t="s">
        <v>221</v>
      </c>
      <c r="D7" s="246" t="s">
        <v>219</v>
      </c>
      <c r="E7" s="246" t="s">
        <v>274</v>
      </c>
    </row>
    <row r="8" spans="1:5" s="243" customFormat="1" ht="47.25" customHeight="1" x14ac:dyDescent="0.2">
      <c r="A8" s="246">
        <v>3</v>
      </c>
      <c r="B8" s="247" t="s">
        <v>266</v>
      </c>
      <c r="C8" s="246" t="s">
        <v>222</v>
      </c>
      <c r="D8" s="246" t="s">
        <v>223</v>
      </c>
      <c r="E8" s="246" t="s">
        <v>275</v>
      </c>
    </row>
    <row r="9" spans="1:5" s="243" customFormat="1" ht="47.25" customHeight="1" x14ac:dyDescent="0.2">
      <c r="A9" s="246">
        <v>4</v>
      </c>
      <c r="B9" s="247" t="s">
        <v>267</v>
      </c>
      <c r="C9" s="246" t="s">
        <v>221</v>
      </c>
      <c r="D9" s="246" t="s">
        <v>219</v>
      </c>
      <c r="E9" s="246" t="s">
        <v>220</v>
      </c>
    </row>
    <row r="10" spans="1:5" s="243" customFormat="1" ht="47.25" customHeight="1" x14ac:dyDescent="0.2">
      <c r="A10" s="246">
        <v>5</v>
      </c>
      <c r="B10" s="247" t="s">
        <v>268</v>
      </c>
      <c r="C10" s="246" t="s">
        <v>224</v>
      </c>
      <c r="D10" s="246" t="s">
        <v>219</v>
      </c>
      <c r="E10" s="246" t="s">
        <v>225</v>
      </c>
    </row>
    <row r="11" spans="1:5" s="243" customFormat="1" ht="47.25" customHeight="1" x14ac:dyDescent="0.2">
      <c r="A11" s="321" t="s">
        <v>226</v>
      </c>
      <c r="B11" s="322"/>
      <c r="C11" s="215" t="s">
        <v>227</v>
      </c>
      <c r="D11" s="215" t="s">
        <v>228</v>
      </c>
      <c r="E11" s="259" t="s">
        <v>276</v>
      </c>
    </row>
  </sheetData>
  <mergeCells count="6">
    <mergeCell ref="A11:B11"/>
    <mergeCell ref="A1:E1"/>
    <mergeCell ref="A3:A5"/>
    <mergeCell ref="B3:B5"/>
    <mergeCell ref="C3:E3"/>
    <mergeCell ref="C4:D4"/>
  </mergeCells>
  <printOptions horizontalCentered="1"/>
  <pageMargins left="0.19685039370078741" right="0.19685039370078741" top="0.74803149606299213" bottom="0.74803149606299213" header="0.11811023622047245" footer="0.11811023622047245"/>
  <pageSetup paperSize="9" fitToHeight="0" orientation="portrait" r:id="rId1"/>
  <ignoredErrors>
    <ignoredError sqref="C6:C10" twoDigitTextYear="1"/>
    <ignoredError sqref="D8 D10:E10 D9 D6 D7" twoDigitTextYear="1" numberStoredAsText="1"/>
    <ignoredError sqref="E6 E8:E9 E7"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workbookViewId="0">
      <selection activeCell="H1" sqref="H1"/>
    </sheetView>
  </sheetViews>
  <sheetFormatPr defaultRowHeight="12.75" x14ac:dyDescent="0.2"/>
  <cols>
    <col min="1" max="1" width="3.85546875" bestFit="1" customWidth="1"/>
    <col min="2" max="2" width="38" bestFit="1" customWidth="1"/>
    <col min="4" max="4" width="14.7109375" customWidth="1"/>
    <col min="5" max="5" width="14.85546875" customWidth="1"/>
    <col min="6" max="6" width="26.5703125" customWidth="1"/>
  </cols>
  <sheetData>
    <row r="1" spans="1:6" ht="103.5" customHeight="1" x14ac:dyDescent="0.3">
      <c r="A1" s="327" t="s">
        <v>281</v>
      </c>
      <c r="B1" s="328"/>
      <c r="C1" s="328"/>
      <c r="D1" s="328"/>
      <c r="E1" s="328"/>
      <c r="F1" s="328"/>
    </row>
    <row r="2" spans="1:6" ht="15.75" x14ac:dyDescent="0.25">
      <c r="A2" s="330" t="s">
        <v>76</v>
      </c>
      <c r="B2" s="332" t="s">
        <v>229</v>
      </c>
      <c r="C2" s="330" t="s">
        <v>230</v>
      </c>
      <c r="D2" s="334" t="s">
        <v>269</v>
      </c>
      <c r="E2" s="335"/>
      <c r="F2" s="336"/>
    </row>
    <row r="3" spans="1:6" ht="45.75" customHeight="1" x14ac:dyDescent="0.2">
      <c r="A3" s="331"/>
      <c r="B3" s="333"/>
      <c r="C3" s="331"/>
      <c r="D3" s="238" t="s">
        <v>262</v>
      </c>
      <c r="E3" s="238" t="s">
        <v>263</v>
      </c>
      <c r="F3" s="248" t="s">
        <v>273</v>
      </c>
    </row>
    <row r="4" spans="1:6" ht="18" customHeight="1" x14ac:dyDescent="0.25">
      <c r="A4" s="220">
        <v>1</v>
      </c>
      <c r="B4" s="221" t="s">
        <v>231</v>
      </c>
      <c r="C4" s="222" t="s">
        <v>232</v>
      </c>
      <c r="D4" s="223">
        <v>56</v>
      </c>
      <c r="E4" s="223">
        <v>56</v>
      </c>
      <c r="F4" s="223">
        <v>56</v>
      </c>
    </row>
    <row r="5" spans="1:6" ht="36.75" customHeight="1" x14ac:dyDescent="0.2">
      <c r="A5" s="224">
        <v>2</v>
      </c>
      <c r="B5" s="225" t="s">
        <v>233</v>
      </c>
      <c r="C5" s="226" t="s">
        <v>234</v>
      </c>
      <c r="D5" s="227">
        <v>5.6</v>
      </c>
      <c r="E5" s="227">
        <v>18.93</v>
      </c>
      <c r="F5" s="228" t="s">
        <v>278</v>
      </c>
    </row>
    <row r="6" spans="1:6" ht="15.75" x14ac:dyDescent="0.25">
      <c r="A6" s="220">
        <v>3</v>
      </c>
      <c r="B6" s="221" t="s">
        <v>235</v>
      </c>
      <c r="C6" s="229"/>
      <c r="D6" s="220"/>
      <c r="E6" s="230"/>
      <c r="F6" s="230"/>
    </row>
    <row r="7" spans="1:6" ht="16.5" x14ac:dyDescent="0.25">
      <c r="A7" s="223"/>
      <c r="B7" s="231" t="s">
        <v>236</v>
      </c>
      <c r="C7" s="222" t="s">
        <v>232</v>
      </c>
      <c r="D7" s="232">
        <v>0</v>
      </c>
      <c r="E7" s="233">
        <v>54</v>
      </c>
      <c r="F7" s="249">
        <v>47</v>
      </c>
    </row>
    <row r="8" spans="1:6" ht="16.5" x14ac:dyDescent="0.25">
      <c r="A8" s="223"/>
      <c r="B8" s="231" t="s">
        <v>237</v>
      </c>
      <c r="C8" s="222" t="s">
        <v>232</v>
      </c>
      <c r="D8" s="232">
        <v>0</v>
      </c>
      <c r="E8" s="233">
        <v>2</v>
      </c>
      <c r="F8" s="249">
        <v>9</v>
      </c>
    </row>
    <row r="9" spans="1:6" ht="16.5" x14ac:dyDescent="0.25">
      <c r="A9" s="223"/>
      <c r="B9" s="231" t="s">
        <v>238</v>
      </c>
      <c r="C9" s="222" t="s">
        <v>232</v>
      </c>
      <c r="D9" s="232">
        <v>5</v>
      </c>
      <c r="E9" s="233">
        <v>0</v>
      </c>
      <c r="F9" s="233">
        <v>0</v>
      </c>
    </row>
    <row r="10" spans="1:6" ht="16.5" x14ac:dyDescent="0.25">
      <c r="A10" s="223"/>
      <c r="B10" s="231" t="s">
        <v>239</v>
      </c>
      <c r="C10" s="222" t="s">
        <v>232</v>
      </c>
      <c r="D10" s="232">
        <v>49</v>
      </c>
      <c r="E10" s="233">
        <v>0</v>
      </c>
      <c r="F10" s="233">
        <v>0</v>
      </c>
    </row>
    <row r="11" spans="1:6" ht="16.5" x14ac:dyDescent="0.25">
      <c r="A11" s="223"/>
      <c r="B11" s="231" t="s">
        <v>240</v>
      </c>
      <c r="C11" s="222" t="s">
        <v>232</v>
      </c>
      <c r="D11" s="232">
        <v>2</v>
      </c>
      <c r="E11" s="233">
        <v>0</v>
      </c>
      <c r="F11" s="233">
        <v>0</v>
      </c>
    </row>
    <row r="12" spans="1:6" ht="15.75" x14ac:dyDescent="0.25">
      <c r="A12" s="220">
        <v>4</v>
      </c>
      <c r="B12" s="221" t="s">
        <v>241</v>
      </c>
      <c r="C12" s="229"/>
      <c r="D12" s="234"/>
      <c r="E12" s="230"/>
      <c r="F12" s="230"/>
    </row>
    <row r="13" spans="1:6" ht="16.5" x14ac:dyDescent="0.25">
      <c r="A13" s="223"/>
      <c r="B13" s="231" t="s">
        <v>242</v>
      </c>
      <c r="C13" s="222" t="s">
        <v>232</v>
      </c>
      <c r="D13" s="223">
        <v>1</v>
      </c>
      <c r="E13" s="233">
        <v>56</v>
      </c>
      <c r="F13" s="239">
        <f>'Bảng tổng hợp PL 3'!I5</f>
        <v>56</v>
      </c>
    </row>
    <row r="14" spans="1:6" ht="16.5" x14ac:dyDescent="0.25">
      <c r="A14" s="223"/>
      <c r="B14" s="231" t="s">
        <v>243</v>
      </c>
      <c r="C14" s="222" t="s">
        <v>232</v>
      </c>
      <c r="D14" s="223">
        <v>0</v>
      </c>
      <c r="E14" s="233">
        <v>56</v>
      </c>
      <c r="F14" s="239">
        <f>'Bảng tổng hợp PL 3'!I6</f>
        <v>53</v>
      </c>
    </row>
    <row r="15" spans="1:6" ht="16.5" x14ac:dyDescent="0.25">
      <c r="A15" s="223"/>
      <c r="B15" s="235" t="s">
        <v>244</v>
      </c>
      <c r="C15" s="222" t="s">
        <v>232</v>
      </c>
      <c r="D15" s="223">
        <v>15</v>
      </c>
      <c r="E15" s="233">
        <v>56</v>
      </c>
      <c r="F15" s="239">
        <f>'Bảng tổng hợp PL 3'!I7</f>
        <v>56</v>
      </c>
    </row>
    <row r="16" spans="1:6" ht="16.5" x14ac:dyDescent="0.25">
      <c r="A16" s="223"/>
      <c r="B16" s="235" t="s">
        <v>245</v>
      </c>
      <c r="C16" s="222" t="s">
        <v>232</v>
      </c>
      <c r="D16" s="223">
        <v>52</v>
      </c>
      <c r="E16" s="233">
        <v>56</v>
      </c>
      <c r="F16" s="239">
        <f>'Bảng tổng hợp PL 3'!I8</f>
        <v>56</v>
      </c>
    </row>
    <row r="17" spans="1:6" ht="16.5" x14ac:dyDescent="0.25">
      <c r="A17" s="236"/>
      <c r="B17" s="237" t="s">
        <v>246</v>
      </c>
      <c r="C17" s="222" t="s">
        <v>232</v>
      </c>
      <c r="D17" s="223">
        <v>5</v>
      </c>
      <c r="E17" s="233">
        <v>56</v>
      </c>
      <c r="F17" s="239">
        <f>'Bảng tổng hợp PL 3'!I9</f>
        <v>53</v>
      </c>
    </row>
    <row r="18" spans="1:6" ht="16.5" x14ac:dyDescent="0.25">
      <c r="A18" s="236"/>
      <c r="B18" s="237" t="s">
        <v>247</v>
      </c>
      <c r="C18" s="222" t="s">
        <v>232</v>
      </c>
      <c r="D18" s="223">
        <v>0</v>
      </c>
      <c r="E18" s="233">
        <v>56</v>
      </c>
      <c r="F18" s="239">
        <f>'Bảng tổng hợp PL 3'!I10</f>
        <v>56</v>
      </c>
    </row>
    <row r="19" spans="1:6" ht="18.75" customHeight="1" x14ac:dyDescent="0.25">
      <c r="A19" s="236"/>
      <c r="B19" s="237" t="s">
        <v>248</v>
      </c>
      <c r="C19" s="222" t="s">
        <v>232</v>
      </c>
      <c r="D19" s="223">
        <v>17</v>
      </c>
      <c r="E19" s="233">
        <v>56</v>
      </c>
      <c r="F19" s="239">
        <f>'Bảng tổng hợp PL 3'!I11</f>
        <v>56</v>
      </c>
    </row>
    <row r="20" spans="1:6" ht="16.5" x14ac:dyDescent="0.25">
      <c r="A20" s="236"/>
      <c r="B20" s="237" t="s">
        <v>249</v>
      </c>
      <c r="C20" s="222" t="s">
        <v>232</v>
      </c>
      <c r="D20" s="223">
        <v>55</v>
      </c>
      <c r="E20" s="233">
        <v>56</v>
      </c>
      <c r="F20" s="239">
        <f>'Bảng tổng hợp PL 3'!I12</f>
        <v>56</v>
      </c>
    </row>
    <row r="21" spans="1:6" ht="16.5" x14ac:dyDescent="0.25">
      <c r="A21" s="236"/>
      <c r="B21" s="237" t="s">
        <v>250</v>
      </c>
      <c r="C21" s="222" t="s">
        <v>232</v>
      </c>
      <c r="D21" s="223">
        <v>24</v>
      </c>
      <c r="E21" s="233">
        <v>56</v>
      </c>
      <c r="F21" s="239">
        <f>'Bảng tổng hợp PL 3'!I13</f>
        <v>56</v>
      </c>
    </row>
    <row r="22" spans="1:6" ht="16.5" x14ac:dyDescent="0.25">
      <c r="A22" s="236"/>
      <c r="B22" s="237" t="s">
        <v>251</v>
      </c>
      <c r="C22" s="222" t="s">
        <v>232</v>
      </c>
      <c r="D22" s="223">
        <v>0</v>
      </c>
      <c r="E22" s="233">
        <v>56</v>
      </c>
      <c r="F22" s="239">
        <f>'Bảng tổng hợp PL 3'!I14</f>
        <v>56</v>
      </c>
    </row>
    <row r="23" spans="1:6" ht="16.5" x14ac:dyDescent="0.25">
      <c r="A23" s="236"/>
      <c r="B23" s="237" t="s">
        <v>252</v>
      </c>
      <c r="C23" s="222" t="s">
        <v>232</v>
      </c>
      <c r="D23" s="223">
        <v>4</v>
      </c>
      <c r="E23" s="233">
        <v>56</v>
      </c>
      <c r="F23" s="239">
        <f>'Bảng tổng hợp PL 3'!I15</f>
        <v>56</v>
      </c>
    </row>
    <row r="24" spans="1:6" ht="16.5" x14ac:dyDescent="0.25">
      <c r="A24" s="236"/>
      <c r="B24" s="237" t="s">
        <v>253</v>
      </c>
      <c r="C24" s="222" t="s">
        <v>232</v>
      </c>
      <c r="D24" s="223">
        <v>29</v>
      </c>
      <c r="E24" s="233">
        <v>56</v>
      </c>
      <c r="F24" s="239">
        <f>'Bảng tổng hợp PL 3'!I16</f>
        <v>56</v>
      </c>
    </row>
    <row r="25" spans="1:6" ht="16.5" x14ac:dyDescent="0.25">
      <c r="A25" s="236"/>
      <c r="B25" s="237" t="s">
        <v>254</v>
      </c>
      <c r="C25" s="222" t="s">
        <v>232</v>
      </c>
      <c r="D25" s="223">
        <v>35</v>
      </c>
      <c r="E25" s="233">
        <v>56</v>
      </c>
      <c r="F25" s="239">
        <f>'Bảng tổng hợp PL 3'!I17</f>
        <v>56</v>
      </c>
    </row>
    <row r="26" spans="1:6" ht="16.5" x14ac:dyDescent="0.25">
      <c r="A26" s="236"/>
      <c r="B26" s="237" t="s">
        <v>255</v>
      </c>
      <c r="C26" s="222" t="s">
        <v>232</v>
      </c>
      <c r="D26" s="223">
        <v>4</v>
      </c>
      <c r="E26" s="233">
        <v>56</v>
      </c>
      <c r="F26" s="239">
        <f>'Bảng tổng hợp PL 3'!I18</f>
        <v>56</v>
      </c>
    </row>
    <row r="27" spans="1:6" ht="16.5" x14ac:dyDescent="0.25">
      <c r="A27" s="236"/>
      <c r="B27" s="237" t="s">
        <v>256</v>
      </c>
      <c r="C27" s="222" t="s">
        <v>232</v>
      </c>
      <c r="D27" s="223">
        <v>23</v>
      </c>
      <c r="E27" s="233">
        <v>56</v>
      </c>
      <c r="F27" s="239">
        <f>'Bảng tổng hợp PL 3'!I19</f>
        <v>56</v>
      </c>
    </row>
    <row r="28" spans="1:6" ht="16.5" x14ac:dyDescent="0.25">
      <c r="A28" s="236"/>
      <c r="B28" s="237" t="s">
        <v>257</v>
      </c>
      <c r="C28" s="222" t="s">
        <v>232</v>
      </c>
      <c r="D28" s="223">
        <v>31</v>
      </c>
      <c r="E28" s="233">
        <v>56</v>
      </c>
      <c r="F28" s="239">
        <f>'Bảng tổng hợp PL 3'!I20</f>
        <v>56</v>
      </c>
    </row>
    <row r="29" spans="1:6" ht="16.5" x14ac:dyDescent="0.25">
      <c r="A29" s="236"/>
      <c r="B29" s="237" t="s">
        <v>258</v>
      </c>
      <c r="C29" s="222" t="s">
        <v>232</v>
      </c>
      <c r="D29" s="223">
        <v>7</v>
      </c>
      <c r="E29" s="233">
        <v>54</v>
      </c>
      <c r="F29" s="239">
        <v>52</v>
      </c>
    </row>
    <row r="30" spans="1:6" ht="15" customHeight="1" x14ac:dyDescent="0.25">
      <c r="A30" s="236"/>
      <c r="B30" s="237" t="s">
        <v>259</v>
      </c>
      <c r="C30" s="222" t="s">
        <v>232</v>
      </c>
      <c r="D30" s="223">
        <v>35</v>
      </c>
      <c r="E30" s="233">
        <v>55</v>
      </c>
      <c r="F30" s="233">
        <f>'Bảng tổng hợp PL 3'!I22</f>
        <v>49</v>
      </c>
    </row>
    <row r="31" spans="1:6" ht="16.5" x14ac:dyDescent="0.25">
      <c r="A31" s="236"/>
      <c r="B31" s="237" t="s">
        <v>260</v>
      </c>
      <c r="C31" s="222" t="s">
        <v>232</v>
      </c>
      <c r="D31" s="223">
        <v>50</v>
      </c>
      <c r="E31" s="233">
        <v>56</v>
      </c>
      <c r="F31" s="233">
        <f>'Bảng tổng hợp PL 3'!I23</f>
        <v>56</v>
      </c>
    </row>
    <row r="32" spans="1:6" ht="15.75" x14ac:dyDescent="0.25">
      <c r="A32" s="219"/>
      <c r="B32" s="216"/>
      <c r="C32" s="217"/>
      <c r="D32" s="218"/>
      <c r="E32" s="219"/>
      <c r="F32" s="219"/>
    </row>
    <row r="33" spans="1:6" ht="113.25" customHeight="1" x14ac:dyDescent="0.2">
      <c r="A33" s="329" t="s">
        <v>277</v>
      </c>
      <c r="B33" s="329"/>
      <c r="C33" s="329"/>
      <c r="D33" s="329"/>
      <c r="E33" s="329"/>
      <c r="F33" s="329"/>
    </row>
  </sheetData>
  <mergeCells count="6">
    <mergeCell ref="A1:F1"/>
    <mergeCell ref="A33:F33"/>
    <mergeCell ref="A2:A3"/>
    <mergeCell ref="B2:B3"/>
    <mergeCell ref="C2:C3"/>
    <mergeCell ref="D2:F2"/>
  </mergeCells>
  <printOptions horizontalCentered="1"/>
  <pageMargins left="0.19685039370078741" right="0.19685039370078741" top="0.74803149606299213" bottom="0.74803149606299213" header="0.1299212598425197" footer="0.11811023622047245"/>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06"/>
  <sheetViews>
    <sheetView zoomScaleNormal="100" workbookViewId="0">
      <selection activeCell="V67" sqref="V67"/>
    </sheetView>
  </sheetViews>
  <sheetFormatPr defaultRowHeight="12.75" x14ac:dyDescent="0.2"/>
  <cols>
    <col min="1" max="1" width="3.5703125" style="1" bestFit="1" customWidth="1"/>
    <col min="2" max="2" width="17.28515625" style="1" bestFit="1" customWidth="1"/>
    <col min="3" max="3" width="7.28515625" style="1" customWidth="1"/>
    <col min="4" max="4" width="7" style="1" customWidth="1"/>
    <col min="5" max="5" width="5.7109375" style="1" customWidth="1"/>
    <col min="6" max="6" width="4.7109375" style="1" bestFit="1" customWidth="1"/>
    <col min="7" max="7" width="7.28515625" style="1" customWidth="1"/>
    <col min="8" max="8" width="5.42578125" style="1" bestFit="1" customWidth="1"/>
    <col min="9" max="9" width="6" style="1" customWidth="1"/>
    <col min="10" max="10" width="7.28515625" style="1" customWidth="1"/>
    <col min="11" max="11" width="6.140625" style="1" customWidth="1"/>
    <col min="12" max="12" width="10.140625" style="1" bestFit="1" customWidth="1"/>
    <col min="13" max="13" width="15.5703125" style="1" customWidth="1"/>
    <col min="14" max="14" width="7" style="1" customWidth="1"/>
    <col min="15" max="15" width="5.7109375" style="1" customWidth="1"/>
    <col min="16" max="16" width="5.85546875" style="11" customWidth="1"/>
    <col min="17" max="17" width="6.140625" style="1" customWidth="1"/>
    <col min="18" max="18" width="5" style="1" customWidth="1"/>
    <col min="19" max="19" width="5.85546875" style="1" customWidth="1"/>
    <col min="20" max="20" width="6.5703125" style="1" customWidth="1"/>
    <col min="21" max="21" width="5.5703125" style="1" customWidth="1"/>
    <col min="22" max="22" width="5.140625" style="1" customWidth="1"/>
    <col min="23" max="16384" width="9.140625" style="1"/>
  </cols>
  <sheetData>
    <row r="1" spans="1:23" ht="47.25" customHeight="1" x14ac:dyDescent="0.2">
      <c r="A1" s="270" t="s">
        <v>135</v>
      </c>
      <c r="B1" s="270"/>
      <c r="C1" s="270"/>
      <c r="D1" s="270"/>
      <c r="E1" s="270"/>
      <c r="F1" s="270"/>
      <c r="G1" s="270"/>
      <c r="H1" s="270"/>
      <c r="I1" s="270"/>
      <c r="J1" s="270"/>
      <c r="K1" s="270"/>
      <c r="L1" s="270"/>
      <c r="M1" s="270"/>
      <c r="N1" s="270"/>
      <c r="O1" s="270"/>
      <c r="P1" s="270"/>
      <c r="Q1" s="270"/>
      <c r="R1" s="270"/>
      <c r="S1" s="270"/>
      <c r="T1" s="270"/>
      <c r="U1" s="270"/>
      <c r="V1" s="270"/>
    </row>
    <row r="2" spans="1:23" ht="4.5" customHeight="1" x14ac:dyDescent="0.2">
      <c r="C2" s="15"/>
      <c r="D2" s="15"/>
      <c r="E2" s="15"/>
      <c r="F2" s="15"/>
      <c r="G2" s="15"/>
      <c r="H2" s="15"/>
      <c r="I2" s="15"/>
      <c r="J2" s="15"/>
      <c r="K2" s="15"/>
      <c r="L2" s="15"/>
      <c r="M2" s="15"/>
      <c r="N2" s="15"/>
      <c r="O2" s="15"/>
      <c r="P2" s="24"/>
      <c r="Q2" s="15"/>
      <c r="R2" s="15"/>
      <c r="S2" s="15"/>
      <c r="T2" s="15"/>
      <c r="U2" s="15"/>
      <c r="V2" s="15"/>
    </row>
    <row r="3" spans="1:23" s="18" customFormat="1" ht="102" customHeight="1" x14ac:dyDescent="0.2">
      <c r="A3" s="3" t="s">
        <v>76</v>
      </c>
      <c r="B3" s="2" t="s">
        <v>108</v>
      </c>
      <c r="C3" s="2" t="s">
        <v>0</v>
      </c>
      <c r="D3" s="2" t="s">
        <v>1</v>
      </c>
      <c r="E3" s="2" t="s">
        <v>2</v>
      </c>
      <c r="F3" s="3" t="s">
        <v>3</v>
      </c>
      <c r="G3" s="2" t="s">
        <v>4</v>
      </c>
      <c r="H3" s="2" t="s">
        <v>5</v>
      </c>
      <c r="I3" s="2" t="s">
        <v>101</v>
      </c>
      <c r="J3" s="2" t="s">
        <v>100</v>
      </c>
      <c r="K3" s="2" t="s">
        <v>6</v>
      </c>
      <c r="L3" s="2" t="s">
        <v>7</v>
      </c>
      <c r="M3" s="2" t="s">
        <v>8</v>
      </c>
      <c r="N3" s="2" t="s">
        <v>102</v>
      </c>
      <c r="O3" s="2" t="s">
        <v>103</v>
      </c>
      <c r="P3" s="25" t="s">
        <v>104</v>
      </c>
      <c r="Q3" s="2" t="s">
        <v>9</v>
      </c>
      <c r="R3" s="2" t="s">
        <v>10</v>
      </c>
      <c r="S3" s="2" t="s">
        <v>105</v>
      </c>
      <c r="T3" s="2" t="s">
        <v>106</v>
      </c>
      <c r="U3" s="2" t="s">
        <v>107</v>
      </c>
      <c r="V3" s="4" t="s">
        <v>11</v>
      </c>
    </row>
    <row r="4" spans="1:23" s="40" customFormat="1" ht="8.25" customHeight="1" x14ac:dyDescent="0.2">
      <c r="A4" s="36"/>
      <c r="B4" s="37"/>
      <c r="C4" s="38">
        <v>1</v>
      </c>
      <c r="D4" s="38">
        <v>2</v>
      </c>
      <c r="E4" s="38">
        <v>3</v>
      </c>
      <c r="F4" s="38">
        <v>4</v>
      </c>
      <c r="G4" s="38">
        <v>5</v>
      </c>
      <c r="H4" s="38">
        <v>6</v>
      </c>
      <c r="I4" s="38">
        <v>7</v>
      </c>
      <c r="J4" s="38">
        <v>8</v>
      </c>
      <c r="K4" s="38">
        <v>9</v>
      </c>
      <c r="L4" s="38">
        <v>10</v>
      </c>
      <c r="M4" s="38">
        <v>11</v>
      </c>
      <c r="N4" s="38">
        <v>12</v>
      </c>
      <c r="O4" s="38">
        <v>13</v>
      </c>
      <c r="P4" s="39">
        <v>14</v>
      </c>
      <c r="Q4" s="38">
        <v>15</v>
      </c>
      <c r="R4" s="38">
        <v>16</v>
      </c>
      <c r="S4" s="38">
        <v>17</v>
      </c>
      <c r="T4" s="38">
        <v>18</v>
      </c>
      <c r="U4" s="38">
        <v>19</v>
      </c>
      <c r="V4" s="38">
        <v>20</v>
      </c>
    </row>
    <row r="5" spans="1:23" ht="19.5" customHeight="1" x14ac:dyDescent="0.2">
      <c r="A5" s="271" t="s">
        <v>12</v>
      </c>
      <c r="B5" s="272"/>
      <c r="C5" s="30"/>
      <c r="D5" s="30"/>
      <c r="E5" s="30"/>
      <c r="F5" s="30"/>
      <c r="G5" s="30"/>
      <c r="H5" s="30"/>
      <c r="I5" s="30"/>
      <c r="J5" s="30"/>
      <c r="K5" s="30"/>
      <c r="L5" s="30"/>
      <c r="M5" s="30"/>
      <c r="N5" s="30"/>
      <c r="O5" s="30"/>
      <c r="P5" s="31"/>
      <c r="Q5" s="30"/>
      <c r="R5" s="30"/>
      <c r="S5" s="30"/>
      <c r="T5" s="30"/>
      <c r="U5" s="30"/>
      <c r="V5" s="30"/>
    </row>
    <row r="6" spans="1:23" s="5" customFormat="1" ht="12.95" customHeight="1" x14ac:dyDescent="0.2">
      <c r="A6" s="261" t="s">
        <v>13</v>
      </c>
      <c r="B6" s="262"/>
      <c r="C6" s="29">
        <f>COUNTIF(C7:C26,"x")</f>
        <v>3</v>
      </c>
      <c r="D6" s="29">
        <f t="shared" ref="D6:U6" si="0">COUNTIF(D7:D26,"x")</f>
        <v>0</v>
      </c>
      <c r="E6" s="29">
        <f t="shared" si="0"/>
        <v>3</v>
      </c>
      <c r="F6" s="29">
        <f t="shared" si="0"/>
        <v>20</v>
      </c>
      <c r="G6" s="29">
        <f t="shared" si="0"/>
        <v>6</v>
      </c>
      <c r="H6" s="29">
        <f t="shared" si="0"/>
        <v>13</v>
      </c>
      <c r="I6" s="29">
        <f t="shared" si="0"/>
        <v>19</v>
      </c>
      <c r="J6" s="29">
        <f t="shared" si="0"/>
        <v>14</v>
      </c>
      <c r="K6" s="29">
        <f t="shared" si="0"/>
        <v>13</v>
      </c>
      <c r="L6" s="29">
        <f t="shared" si="0"/>
        <v>0</v>
      </c>
      <c r="M6" s="29">
        <f t="shared" si="0"/>
        <v>2</v>
      </c>
      <c r="N6" s="29">
        <f t="shared" si="0"/>
        <v>9</v>
      </c>
      <c r="O6" s="29">
        <f t="shared" si="0"/>
        <v>10</v>
      </c>
      <c r="P6" s="29">
        <f t="shared" si="0"/>
        <v>6</v>
      </c>
      <c r="Q6" s="29">
        <f t="shared" si="0"/>
        <v>1</v>
      </c>
      <c r="R6" s="29">
        <f t="shared" si="0"/>
        <v>18</v>
      </c>
      <c r="S6" s="29">
        <f t="shared" si="0"/>
        <v>10</v>
      </c>
      <c r="T6" s="29">
        <f t="shared" si="0"/>
        <v>18</v>
      </c>
      <c r="U6" s="29">
        <f t="shared" si="0"/>
        <v>20</v>
      </c>
      <c r="V6" s="32">
        <f>SUM(V7:V26)/20</f>
        <v>9.25</v>
      </c>
    </row>
    <row r="7" spans="1:23" ht="12.95" customHeight="1" x14ac:dyDescent="0.2">
      <c r="A7" s="6">
        <v>1</v>
      </c>
      <c r="B7" s="89" t="s">
        <v>19</v>
      </c>
      <c r="C7" s="87"/>
      <c r="D7" s="87"/>
      <c r="E7" s="87"/>
      <c r="F7" s="87" t="s">
        <v>99</v>
      </c>
      <c r="G7" s="87"/>
      <c r="H7" s="87" t="s">
        <v>99</v>
      </c>
      <c r="I7" s="87" t="s">
        <v>99</v>
      </c>
      <c r="J7" s="87"/>
      <c r="K7" s="87"/>
      <c r="L7" s="87"/>
      <c r="M7" s="87"/>
      <c r="N7" s="87"/>
      <c r="O7" s="87" t="s">
        <v>99</v>
      </c>
      <c r="P7" s="33"/>
      <c r="Q7" s="87"/>
      <c r="R7" s="87" t="s">
        <v>99</v>
      </c>
      <c r="S7" s="87" t="s">
        <v>99</v>
      </c>
      <c r="T7" s="87" t="s">
        <v>99</v>
      </c>
      <c r="U7" s="87" t="s">
        <v>99</v>
      </c>
      <c r="V7" s="90">
        <f t="shared" ref="V7:V26" si="1">COUNTIF(C7:U7,"x")</f>
        <v>8</v>
      </c>
    </row>
    <row r="8" spans="1:23" ht="12.95" customHeight="1" x14ac:dyDescent="0.2">
      <c r="A8" s="6">
        <v>2</v>
      </c>
      <c r="B8" s="7" t="s">
        <v>32</v>
      </c>
      <c r="C8" s="87"/>
      <c r="D8" s="87"/>
      <c r="E8" s="87"/>
      <c r="F8" s="87" t="s">
        <v>99</v>
      </c>
      <c r="G8" s="87" t="s">
        <v>99</v>
      </c>
      <c r="H8" s="87" t="s">
        <v>99</v>
      </c>
      <c r="I8" s="87"/>
      <c r="J8" s="87" t="s">
        <v>99</v>
      </c>
      <c r="K8" s="87"/>
      <c r="L8" s="87"/>
      <c r="M8" s="87"/>
      <c r="N8" s="87" t="s">
        <v>99</v>
      </c>
      <c r="O8" s="87" t="s">
        <v>99</v>
      </c>
      <c r="P8" s="33"/>
      <c r="Q8" s="87"/>
      <c r="R8" s="87" t="s">
        <v>99</v>
      </c>
      <c r="S8" s="87" t="s">
        <v>99</v>
      </c>
      <c r="T8" s="87" t="s">
        <v>99</v>
      </c>
      <c r="U8" s="87" t="s">
        <v>99</v>
      </c>
      <c r="V8" s="6">
        <f t="shared" si="1"/>
        <v>10</v>
      </c>
    </row>
    <row r="9" spans="1:23" ht="12.95" customHeight="1" x14ac:dyDescent="0.2">
      <c r="A9" s="6">
        <v>3</v>
      </c>
      <c r="B9" s="7" t="s">
        <v>31</v>
      </c>
      <c r="C9" s="87"/>
      <c r="D9" s="87"/>
      <c r="E9" s="87"/>
      <c r="F9" s="87" t="s">
        <v>99</v>
      </c>
      <c r="G9" s="87"/>
      <c r="H9" s="87"/>
      <c r="I9" s="87" t="s">
        <v>99</v>
      </c>
      <c r="J9" s="87"/>
      <c r="K9" s="87"/>
      <c r="L9" s="87"/>
      <c r="M9" s="87"/>
      <c r="N9" s="87"/>
      <c r="O9" s="87"/>
      <c r="P9" s="33"/>
      <c r="Q9" s="87"/>
      <c r="R9" s="87"/>
      <c r="S9" s="87" t="s">
        <v>99</v>
      </c>
      <c r="T9" s="87" t="s">
        <v>99</v>
      </c>
      <c r="U9" s="87" t="s">
        <v>99</v>
      </c>
      <c r="V9" s="6">
        <f t="shared" si="1"/>
        <v>5</v>
      </c>
    </row>
    <row r="10" spans="1:23" ht="12.95" customHeight="1" x14ac:dyDescent="0.2">
      <c r="A10" s="6">
        <v>4</v>
      </c>
      <c r="B10" s="7" t="s">
        <v>33</v>
      </c>
      <c r="C10" s="87"/>
      <c r="D10" s="87"/>
      <c r="E10" s="87"/>
      <c r="F10" s="87" t="s">
        <v>99</v>
      </c>
      <c r="G10" s="87"/>
      <c r="H10" s="87"/>
      <c r="I10" s="87" t="s">
        <v>99</v>
      </c>
      <c r="J10" s="87" t="s">
        <v>99</v>
      </c>
      <c r="K10" s="87" t="s">
        <v>99</v>
      </c>
      <c r="L10" s="87"/>
      <c r="M10" s="87"/>
      <c r="N10" s="87" t="s">
        <v>99</v>
      </c>
      <c r="O10" s="87"/>
      <c r="P10" s="33"/>
      <c r="Q10" s="87"/>
      <c r="R10" s="87" t="s">
        <v>99</v>
      </c>
      <c r="S10" s="87" t="s">
        <v>99</v>
      </c>
      <c r="T10" s="87" t="s">
        <v>99</v>
      </c>
      <c r="U10" s="87" t="s">
        <v>99</v>
      </c>
      <c r="V10" s="6">
        <f t="shared" si="1"/>
        <v>9</v>
      </c>
    </row>
    <row r="11" spans="1:23" s="11" customFormat="1" ht="12.95" customHeight="1" x14ac:dyDescent="0.2">
      <c r="A11" s="6">
        <v>5</v>
      </c>
      <c r="B11" s="7" t="s">
        <v>17</v>
      </c>
      <c r="C11" s="87"/>
      <c r="D11" s="87"/>
      <c r="E11" s="87"/>
      <c r="F11" s="87" t="s">
        <v>99</v>
      </c>
      <c r="G11" s="87" t="s">
        <v>99</v>
      </c>
      <c r="H11" s="87" t="s">
        <v>99</v>
      </c>
      <c r="I11" s="87" t="s">
        <v>99</v>
      </c>
      <c r="J11" s="87"/>
      <c r="K11" s="87"/>
      <c r="L11" s="87"/>
      <c r="M11" s="87"/>
      <c r="N11" s="87"/>
      <c r="O11" s="87" t="s">
        <v>99</v>
      </c>
      <c r="P11" s="33" t="s">
        <v>99</v>
      </c>
      <c r="Q11" s="87"/>
      <c r="R11" s="87" t="s">
        <v>99</v>
      </c>
      <c r="S11" s="87" t="s">
        <v>99</v>
      </c>
      <c r="T11" s="87" t="s">
        <v>99</v>
      </c>
      <c r="U11" s="87" t="s">
        <v>99</v>
      </c>
      <c r="V11" s="90">
        <f t="shared" si="1"/>
        <v>10</v>
      </c>
      <c r="W11" s="1"/>
    </row>
    <row r="12" spans="1:23" ht="12.95" customHeight="1" x14ac:dyDescent="0.2">
      <c r="A12" s="6">
        <v>6</v>
      </c>
      <c r="B12" s="10" t="s">
        <v>30</v>
      </c>
      <c r="C12" s="87"/>
      <c r="D12" s="87"/>
      <c r="E12" s="87"/>
      <c r="F12" s="87" t="s">
        <v>99</v>
      </c>
      <c r="G12" s="87"/>
      <c r="H12" s="87"/>
      <c r="I12" s="87" t="s">
        <v>99</v>
      </c>
      <c r="J12" s="87"/>
      <c r="K12" s="87"/>
      <c r="L12" s="87"/>
      <c r="M12" s="87" t="s">
        <v>99</v>
      </c>
      <c r="N12" s="87" t="s">
        <v>99</v>
      </c>
      <c r="O12" s="87"/>
      <c r="P12" s="33"/>
      <c r="Q12" s="87"/>
      <c r="R12" s="87" t="s">
        <v>99</v>
      </c>
      <c r="S12" s="87"/>
      <c r="T12" s="87" t="s">
        <v>99</v>
      </c>
      <c r="U12" s="87" t="s">
        <v>99</v>
      </c>
      <c r="V12" s="6">
        <f t="shared" si="1"/>
        <v>7</v>
      </c>
      <c r="W12" s="11"/>
    </row>
    <row r="13" spans="1:23" s="11" customFormat="1" ht="12.95" customHeight="1" x14ac:dyDescent="0.2">
      <c r="A13" s="6">
        <v>7</v>
      </c>
      <c r="B13" s="10" t="s">
        <v>28</v>
      </c>
      <c r="C13" s="87"/>
      <c r="D13" s="87"/>
      <c r="E13" s="87"/>
      <c r="F13" s="87" t="s">
        <v>99</v>
      </c>
      <c r="G13" s="87"/>
      <c r="H13" s="87" t="s">
        <v>99</v>
      </c>
      <c r="I13" s="87" t="s">
        <v>99</v>
      </c>
      <c r="J13" s="87"/>
      <c r="K13" s="87" t="s">
        <v>99</v>
      </c>
      <c r="L13" s="87"/>
      <c r="M13" s="87"/>
      <c r="N13" s="87"/>
      <c r="O13" s="87" t="s">
        <v>99</v>
      </c>
      <c r="P13" s="33"/>
      <c r="Q13" s="87"/>
      <c r="R13" s="87" t="s">
        <v>99</v>
      </c>
      <c r="S13" s="87"/>
      <c r="T13" s="87" t="s">
        <v>99</v>
      </c>
      <c r="U13" s="87" t="s">
        <v>99</v>
      </c>
      <c r="V13" s="90">
        <f t="shared" si="1"/>
        <v>8</v>
      </c>
    </row>
    <row r="14" spans="1:23" ht="12.95" customHeight="1" x14ac:dyDescent="0.2">
      <c r="A14" s="6">
        <v>8</v>
      </c>
      <c r="B14" s="7" t="s">
        <v>29</v>
      </c>
      <c r="C14" s="87" t="s">
        <v>99</v>
      </c>
      <c r="D14" s="87"/>
      <c r="E14" s="87"/>
      <c r="F14" s="87" t="s">
        <v>99</v>
      </c>
      <c r="G14" s="87" t="s">
        <v>99</v>
      </c>
      <c r="H14" s="87" t="s">
        <v>99</v>
      </c>
      <c r="I14" s="87" t="s">
        <v>99</v>
      </c>
      <c r="J14" s="87" t="s">
        <v>99</v>
      </c>
      <c r="K14" s="87"/>
      <c r="L14" s="87"/>
      <c r="M14" s="87"/>
      <c r="N14" s="87" t="s">
        <v>99</v>
      </c>
      <c r="O14" s="87"/>
      <c r="P14" s="33" t="s">
        <v>99</v>
      </c>
      <c r="Q14" s="87"/>
      <c r="R14" s="87" t="s">
        <v>99</v>
      </c>
      <c r="S14" s="87"/>
      <c r="T14" s="87" t="s">
        <v>99</v>
      </c>
      <c r="U14" s="87" t="s">
        <v>99</v>
      </c>
      <c r="V14" s="6">
        <f t="shared" si="1"/>
        <v>11</v>
      </c>
    </row>
    <row r="15" spans="1:23" ht="12.95" customHeight="1" x14ac:dyDescent="0.2">
      <c r="A15" s="6">
        <v>9</v>
      </c>
      <c r="B15" s="7" t="s">
        <v>27</v>
      </c>
      <c r="C15" s="87"/>
      <c r="D15" s="87"/>
      <c r="E15" s="87"/>
      <c r="F15" s="87" t="s">
        <v>99</v>
      </c>
      <c r="G15" s="87" t="s">
        <v>99</v>
      </c>
      <c r="H15" s="87" t="s">
        <v>99</v>
      </c>
      <c r="I15" s="87" t="s">
        <v>99</v>
      </c>
      <c r="J15" s="87" t="s">
        <v>99</v>
      </c>
      <c r="K15" s="87" t="s">
        <v>99</v>
      </c>
      <c r="L15" s="87"/>
      <c r="M15" s="87"/>
      <c r="N15" s="87"/>
      <c r="O15" s="87" t="s">
        <v>99</v>
      </c>
      <c r="P15" s="33"/>
      <c r="Q15" s="87"/>
      <c r="R15" s="87" t="s">
        <v>99</v>
      </c>
      <c r="S15" s="87" t="s">
        <v>99</v>
      </c>
      <c r="T15" s="87" t="s">
        <v>99</v>
      </c>
      <c r="U15" s="87" t="s">
        <v>99</v>
      </c>
      <c r="V15" s="6">
        <f t="shared" si="1"/>
        <v>11</v>
      </c>
    </row>
    <row r="16" spans="1:23" ht="12.95" customHeight="1" x14ac:dyDescent="0.2">
      <c r="A16" s="6">
        <v>10</v>
      </c>
      <c r="B16" s="7" t="s">
        <v>16</v>
      </c>
      <c r="C16" s="87"/>
      <c r="D16" s="87"/>
      <c r="E16" s="87"/>
      <c r="F16" s="87" t="s">
        <v>99</v>
      </c>
      <c r="G16" s="87"/>
      <c r="H16" s="87"/>
      <c r="I16" s="87" t="s">
        <v>99</v>
      </c>
      <c r="J16" s="87" t="s">
        <v>99</v>
      </c>
      <c r="K16" s="87" t="s">
        <v>99</v>
      </c>
      <c r="L16" s="87"/>
      <c r="M16" s="87"/>
      <c r="N16" s="87"/>
      <c r="O16" s="87"/>
      <c r="P16" s="33"/>
      <c r="Q16" s="87"/>
      <c r="R16" s="87" t="s">
        <v>99</v>
      </c>
      <c r="S16" s="87" t="s">
        <v>99</v>
      </c>
      <c r="T16" s="87" t="s">
        <v>99</v>
      </c>
      <c r="U16" s="87" t="s">
        <v>99</v>
      </c>
      <c r="V16" s="6">
        <f t="shared" si="1"/>
        <v>8</v>
      </c>
    </row>
    <row r="17" spans="1:23" ht="12.95" customHeight="1" x14ac:dyDescent="0.2">
      <c r="A17" s="6">
        <v>11</v>
      </c>
      <c r="B17" s="7" t="s">
        <v>26</v>
      </c>
      <c r="C17" s="87"/>
      <c r="D17" s="87"/>
      <c r="E17" s="87"/>
      <c r="F17" s="87" t="s">
        <v>99</v>
      </c>
      <c r="G17" s="87"/>
      <c r="H17" s="87" t="s">
        <v>99</v>
      </c>
      <c r="I17" s="87" t="s">
        <v>99</v>
      </c>
      <c r="J17" s="87" t="s">
        <v>99</v>
      </c>
      <c r="K17" s="87"/>
      <c r="L17" s="87"/>
      <c r="M17" s="87"/>
      <c r="N17" s="87" t="s">
        <v>99</v>
      </c>
      <c r="O17" s="87"/>
      <c r="P17" s="33" t="s">
        <v>99</v>
      </c>
      <c r="Q17" s="87"/>
      <c r="R17" s="87" t="s">
        <v>99</v>
      </c>
      <c r="S17" s="87"/>
      <c r="T17" s="87" t="s">
        <v>99</v>
      </c>
      <c r="U17" s="87" t="s">
        <v>99</v>
      </c>
      <c r="V17" s="6">
        <f t="shared" si="1"/>
        <v>9</v>
      </c>
    </row>
    <row r="18" spans="1:23" ht="12.95" customHeight="1" x14ac:dyDescent="0.2">
      <c r="A18" s="6">
        <v>12</v>
      </c>
      <c r="B18" s="7" t="s">
        <v>25</v>
      </c>
      <c r="C18" s="87" t="s">
        <v>99</v>
      </c>
      <c r="D18" s="87"/>
      <c r="E18" s="87"/>
      <c r="F18" s="87" t="s">
        <v>99</v>
      </c>
      <c r="G18" s="87"/>
      <c r="H18" s="87" t="s">
        <v>99</v>
      </c>
      <c r="I18" s="87" t="s">
        <v>99</v>
      </c>
      <c r="J18" s="87"/>
      <c r="K18" s="87" t="s">
        <v>99</v>
      </c>
      <c r="L18" s="87"/>
      <c r="M18" s="87"/>
      <c r="N18" s="87" t="s">
        <v>99</v>
      </c>
      <c r="O18" s="87"/>
      <c r="P18" s="33"/>
      <c r="Q18" s="87"/>
      <c r="R18" s="87" t="s">
        <v>99</v>
      </c>
      <c r="S18" s="87"/>
      <c r="T18" s="87" t="s">
        <v>99</v>
      </c>
      <c r="U18" s="87" t="s">
        <v>99</v>
      </c>
      <c r="V18" s="90">
        <f t="shared" si="1"/>
        <v>9</v>
      </c>
    </row>
    <row r="19" spans="1:23" ht="12.95" customHeight="1" x14ac:dyDescent="0.2">
      <c r="A19" s="6">
        <v>13</v>
      </c>
      <c r="B19" s="7" t="s">
        <v>22</v>
      </c>
      <c r="C19" s="87"/>
      <c r="D19" s="87"/>
      <c r="E19" s="87"/>
      <c r="F19" s="87" t="s">
        <v>99</v>
      </c>
      <c r="G19" s="87"/>
      <c r="H19" s="87"/>
      <c r="I19" s="87" t="s">
        <v>99</v>
      </c>
      <c r="J19" s="87" t="s">
        <v>99</v>
      </c>
      <c r="K19" s="87" t="s">
        <v>99</v>
      </c>
      <c r="L19" s="87"/>
      <c r="M19" s="87" t="s">
        <v>99</v>
      </c>
      <c r="N19" s="87"/>
      <c r="O19" s="87" t="s">
        <v>99</v>
      </c>
      <c r="P19" s="33"/>
      <c r="Q19" s="87"/>
      <c r="R19" s="87" t="s">
        <v>99</v>
      </c>
      <c r="S19" s="87"/>
      <c r="T19" s="87" t="s">
        <v>99</v>
      </c>
      <c r="U19" s="87" t="s">
        <v>99</v>
      </c>
      <c r="V19" s="6">
        <f t="shared" si="1"/>
        <v>9</v>
      </c>
    </row>
    <row r="20" spans="1:23" ht="12.95" customHeight="1" x14ac:dyDescent="0.2">
      <c r="A20" s="6">
        <v>14</v>
      </c>
      <c r="B20" s="10" t="s">
        <v>20</v>
      </c>
      <c r="C20" s="87"/>
      <c r="D20" s="87"/>
      <c r="E20" s="87"/>
      <c r="F20" s="87" t="s">
        <v>99</v>
      </c>
      <c r="G20" s="87"/>
      <c r="H20" s="87"/>
      <c r="I20" s="87" t="s">
        <v>99</v>
      </c>
      <c r="J20" s="87" t="s">
        <v>99</v>
      </c>
      <c r="K20" s="87" t="s">
        <v>99</v>
      </c>
      <c r="L20" s="87"/>
      <c r="M20" s="87"/>
      <c r="N20" s="87"/>
      <c r="O20" s="87" t="s">
        <v>99</v>
      </c>
      <c r="P20" s="33"/>
      <c r="Q20" s="87"/>
      <c r="R20" s="87" t="s">
        <v>99</v>
      </c>
      <c r="S20" s="87"/>
      <c r="T20" s="87" t="s">
        <v>99</v>
      </c>
      <c r="U20" s="87" t="s">
        <v>99</v>
      </c>
      <c r="V20" s="6">
        <f t="shared" si="1"/>
        <v>8</v>
      </c>
      <c r="W20" s="11"/>
    </row>
    <row r="21" spans="1:23" s="11" customFormat="1" ht="12.95" customHeight="1" x14ac:dyDescent="0.2">
      <c r="A21" s="6">
        <v>15</v>
      </c>
      <c r="B21" s="7" t="s">
        <v>21</v>
      </c>
      <c r="C21" s="87"/>
      <c r="D21" s="87"/>
      <c r="E21" s="87"/>
      <c r="F21" s="87" t="s">
        <v>99</v>
      </c>
      <c r="G21" s="87"/>
      <c r="H21" s="87" t="s">
        <v>99</v>
      </c>
      <c r="I21" s="87" t="s">
        <v>99</v>
      </c>
      <c r="J21" s="87" t="s">
        <v>99</v>
      </c>
      <c r="K21" s="87" t="s">
        <v>99</v>
      </c>
      <c r="L21" s="87"/>
      <c r="M21" s="87"/>
      <c r="N21" s="87" t="s">
        <v>99</v>
      </c>
      <c r="O21" s="87" t="s">
        <v>99</v>
      </c>
      <c r="P21" s="33" t="s">
        <v>99</v>
      </c>
      <c r="Q21" s="87" t="s">
        <v>99</v>
      </c>
      <c r="R21" s="87" t="s">
        <v>99</v>
      </c>
      <c r="S21" s="87" t="s">
        <v>99</v>
      </c>
      <c r="T21" s="87"/>
      <c r="U21" s="87" t="s">
        <v>99</v>
      </c>
      <c r="V21" s="6">
        <f t="shared" si="1"/>
        <v>12</v>
      </c>
      <c r="W21" s="1"/>
    </row>
    <row r="22" spans="1:23" ht="12.95" customHeight="1" x14ac:dyDescent="0.2">
      <c r="A22" s="6">
        <v>16</v>
      </c>
      <c r="B22" s="7" t="s">
        <v>14</v>
      </c>
      <c r="C22" s="87"/>
      <c r="D22" s="87"/>
      <c r="E22" s="87"/>
      <c r="F22" s="87" t="s">
        <v>99</v>
      </c>
      <c r="G22" s="87"/>
      <c r="H22" s="87" t="s">
        <v>99</v>
      </c>
      <c r="I22" s="87" t="s">
        <v>99</v>
      </c>
      <c r="J22" s="87" t="s">
        <v>99</v>
      </c>
      <c r="K22" s="87" t="s">
        <v>99</v>
      </c>
      <c r="L22" s="87"/>
      <c r="M22" s="87"/>
      <c r="N22" s="87"/>
      <c r="O22" s="87" t="s">
        <v>99</v>
      </c>
      <c r="P22" s="33" t="s">
        <v>99</v>
      </c>
      <c r="Q22" s="87"/>
      <c r="R22" s="87" t="s">
        <v>99</v>
      </c>
      <c r="S22" s="87"/>
      <c r="T22" s="87" t="s">
        <v>99</v>
      </c>
      <c r="U22" s="87" t="s">
        <v>99</v>
      </c>
      <c r="V22" s="6">
        <f t="shared" si="1"/>
        <v>10</v>
      </c>
    </row>
    <row r="23" spans="1:23" s="11" customFormat="1" ht="12.95" customHeight="1" x14ac:dyDescent="0.2">
      <c r="A23" s="6">
        <v>17</v>
      </c>
      <c r="B23" s="7" t="s">
        <v>15</v>
      </c>
      <c r="C23" s="87"/>
      <c r="D23" s="87"/>
      <c r="E23" s="87" t="s">
        <v>99</v>
      </c>
      <c r="F23" s="87" t="s">
        <v>99</v>
      </c>
      <c r="G23" s="87" t="s">
        <v>99</v>
      </c>
      <c r="H23" s="87" t="s">
        <v>99</v>
      </c>
      <c r="I23" s="87" t="s">
        <v>99</v>
      </c>
      <c r="J23" s="87" t="s">
        <v>99</v>
      </c>
      <c r="K23" s="87" t="s">
        <v>99</v>
      </c>
      <c r="L23" s="87"/>
      <c r="M23" s="87"/>
      <c r="N23" s="87"/>
      <c r="O23" s="87"/>
      <c r="P23" s="33"/>
      <c r="Q23" s="87"/>
      <c r="R23" s="87" t="s">
        <v>99</v>
      </c>
      <c r="S23" s="87" t="s">
        <v>99</v>
      </c>
      <c r="T23" s="87" t="s">
        <v>99</v>
      </c>
      <c r="U23" s="87" t="s">
        <v>99</v>
      </c>
      <c r="V23" s="6">
        <f t="shared" si="1"/>
        <v>11</v>
      </c>
      <c r="W23" s="1"/>
    </row>
    <row r="24" spans="1:23" ht="12.95" customHeight="1" x14ac:dyDescent="0.2">
      <c r="A24" s="6">
        <v>18</v>
      </c>
      <c r="B24" s="10" t="s">
        <v>18</v>
      </c>
      <c r="C24" s="87"/>
      <c r="D24" s="87"/>
      <c r="E24" s="87"/>
      <c r="F24" s="87" t="s">
        <v>99</v>
      </c>
      <c r="G24" s="87" t="s">
        <v>99</v>
      </c>
      <c r="H24" s="87" t="s">
        <v>99</v>
      </c>
      <c r="I24" s="87" t="s">
        <v>99</v>
      </c>
      <c r="J24" s="87" t="s">
        <v>99</v>
      </c>
      <c r="K24" s="87" t="s">
        <v>99</v>
      </c>
      <c r="L24" s="87"/>
      <c r="M24" s="87"/>
      <c r="N24" s="87" t="s">
        <v>99</v>
      </c>
      <c r="O24" s="87"/>
      <c r="P24" s="33" t="s">
        <v>99</v>
      </c>
      <c r="Q24" s="87"/>
      <c r="R24" s="87"/>
      <c r="S24" s="87"/>
      <c r="T24" s="87"/>
      <c r="U24" s="87" t="s">
        <v>99</v>
      </c>
      <c r="V24" s="6">
        <f t="shared" si="1"/>
        <v>9</v>
      </c>
      <c r="W24" s="11"/>
    </row>
    <row r="25" spans="1:23" ht="12.95" customHeight="1" x14ac:dyDescent="0.2">
      <c r="A25" s="6">
        <v>19</v>
      </c>
      <c r="B25" s="7" t="s">
        <v>24</v>
      </c>
      <c r="C25" s="87" t="s">
        <v>99</v>
      </c>
      <c r="D25" s="87"/>
      <c r="E25" s="87" t="s">
        <v>99</v>
      </c>
      <c r="F25" s="87" t="s">
        <v>99</v>
      </c>
      <c r="G25" s="87"/>
      <c r="H25" s="87" t="s">
        <v>99</v>
      </c>
      <c r="I25" s="87" t="s">
        <v>99</v>
      </c>
      <c r="J25" s="87" t="s">
        <v>99</v>
      </c>
      <c r="K25" s="87" t="s">
        <v>99</v>
      </c>
      <c r="L25" s="87"/>
      <c r="M25" s="87"/>
      <c r="N25" s="87" t="s">
        <v>99</v>
      </c>
      <c r="O25" s="87"/>
      <c r="P25" s="33"/>
      <c r="Q25" s="87"/>
      <c r="R25" s="87" t="s">
        <v>99</v>
      </c>
      <c r="S25" s="87" t="s">
        <v>99</v>
      </c>
      <c r="T25" s="87" t="s">
        <v>99</v>
      </c>
      <c r="U25" s="87" t="s">
        <v>99</v>
      </c>
      <c r="V25" s="90">
        <f t="shared" si="1"/>
        <v>12</v>
      </c>
    </row>
    <row r="26" spans="1:23" ht="12.95" customHeight="1" x14ac:dyDescent="0.2">
      <c r="A26" s="6">
        <v>20</v>
      </c>
      <c r="B26" s="7" t="s">
        <v>23</v>
      </c>
      <c r="C26" s="87"/>
      <c r="D26" s="87"/>
      <c r="E26" s="87" t="s">
        <v>99</v>
      </c>
      <c r="F26" s="87" t="s">
        <v>99</v>
      </c>
      <c r="G26" s="87"/>
      <c r="H26" s="87"/>
      <c r="I26" s="87" t="s">
        <v>99</v>
      </c>
      <c r="J26" s="87" t="s">
        <v>99</v>
      </c>
      <c r="K26" s="87" t="s">
        <v>99</v>
      </c>
      <c r="L26" s="87"/>
      <c r="M26" s="87"/>
      <c r="N26" s="87"/>
      <c r="O26" s="87" t="s">
        <v>99</v>
      </c>
      <c r="P26" s="33"/>
      <c r="Q26" s="87"/>
      <c r="R26" s="87" t="s">
        <v>99</v>
      </c>
      <c r="S26" s="87"/>
      <c r="T26" s="87" t="s">
        <v>99</v>
      </c>
      <c r="U26" s="87" t="s">
        <v>99</v>
      </c>
      <c r="V26" s="90">
        <f t="shared" si="1"/>
        <v>9</v>
      </c>
    </row>
    <row r="27" spans="1:23" s="5" customFormat="1" ht="12.95" customHeight="1" x14ac:dyDescent="0.2">
      <c r="A27" s="261" t="s">
        <v>34</v>
      </c>
      <c r="B27" s="262"/>
      <c r="C27" s="29">
        <f>COUNTIF(C28:C37, "x")</f>
        <v>0</v>
      </c>
      <c r="D27" s="29">
        <f t="shared" ref="D27:U27" si="2">COUNTIF(D28:D37, "x")</f>
        <v>0</v>
      </c>
      <c r="E27" s="29">
        <f t="shared" si="2"/>
        <v>2</v>
      </c>
      <c r="F27" s="29">
        <f t="shared" si="2"/>
        <v>10</v>
      </c>
      <c r="G27" s="29">
        <f t="shared" si="2"/>
        <v>3</v>
      </c>
      <c r="H27" s="29">
        <f t="shared" si="2"/>
        <v>5</v>
      </c>
      <c r="I27" s="29">
        <f t="shared" si="2"/>
        <v>8</v>
      </c>
      <c r="J27" s="29">
        <f t="shared" si="2"/>
        <v>5</v>
      </c>
      <c r="K27" s="29">
        <f t="shared" si="2"/>
        <v>8</v>
      </c>
      <c r="L27" s="29">
        <f t="shared" si="2"/>
        <v>0</v>
      </c>
      <c r="M27" s="29">
        <f t="shared" si="2"/>
        <v>4</v>
      </c>
      <c r="N27" s="29">
        <f t="shared" si="2"/>
        <v>3</v>
      </c>
      <c r="O27" s="29">
        <f t="shared" si="2"/>
        <v>5</v>
      </c>
      <c r="P27" s="29">
        <f t="shared" si="2"/>
        <v>2</v>
      </c>
      <c r="Q27" s="29">
        <f t="shared" si="2"/>
        <v>0</v>
      </c>
      <c r="R27" s="29">
        <f t="shared" si="2"/>
        <v>9</v>
      </c>
      <c r="S27" s="29">
        <f t="shared" si="2"/>
        <v>0</v>
      </c>
      <c r="T27" s="29">
        <f t="shared" si="2"/>
        <v>5</v>
      </c>
      <c r="U27" s="29">
        <f t="shared" si="2"/>
        <v>8</v>
      </c>
      <c r="V27" s="32">
        <f>SUM(V28:V37)/10</f>
        <v>7.7</v>
      </c>
    </row>
    <row r="28" spans="1:23" ht="12.95" customHeight="1" x14ac:dyDescent="0.2">
      <c r="A28" s="6">
        <v>1</v>
      </c>
      <c r="B28" s="7" t="s">
        <v>41</v>
      </c>
      <c r="C28" s="87"/>
      <c r="D28" s="87"/>
      <c r="E28" s="87"/>
      <c r="F28" s="87" t="s">
        <v>99</v>
      </c>
      <c r="G28" s="87"/>
      <c r="H28" s="87"/>
      <c r="I28" s="87" t="s">
        <v>99</v>
      </c>
      <c r="J28" s="87" t="s">
        <v>99</v>
      </c>
      <c r="K28" s="87" t="s">
        <v>99</v>
      </c>
      <c r="L28" s="87"/>
      <c r="M28" s="87" t="s">
        <v>99</v>
      </c>
      <c r="N28" s="87"/>
      <c r="O28" s="87" t="s">
        <v>99</v>
      </c>
      <c r="P28" s="33" t="s">
        <v>99</v>
      </c>
      <c r="Q28" s="87"/>
      <c r="R28" s="87" t="s">
        <v>99</v>
      </c>
      <c r="S28" s="87"/>
      <c r="T28" s="87" t="s">
        <v>99</v>
      </c>
      <c r="U28" s="87" t="s">
        <v>99</v>
      </c>
      <c r="V28" s="6">
        <f t="shared" ref="V28:V37" si="3">COUNTIF(C28:U28,"x")</f>
        <v>10</v>
      </c>
    </row>
    <row r="29" spans="1:23" ht="12.95" customHeight="1" x14ac:dyDescent="0.2">
      <c r="A29" s="9">
        <v>2</v>
      </c>
      <c r="B29" s="10" t="s">
        <v>39</v>
      </c>
      <c r="C29" s="87"/>
      <c r="D29" s="87"/>
      <c r="E29" s="87"/>
      <c r="F29" s="87" t="s">
        <v>99</v>
      </c>
      <c r="G29" s="87"/>
      <c r="H29" s="87" t="s">
        <v>99</v>
      </c>
      <c r="I29" s="87" t="s">
        <v>99</v>
      </c>
      <c r="J29" s="87"/>
      <c r="K29" s="87" t="s">
        <v>99</v>
      </c>
      <c r="L29" s="87"/>
      <c r="M29" s="87"/>
      <c r="N29" s="87" t="s">
        <v>99</v>
      </c>
      <c r="O29" s="87" t="s">
        <v>99</v>
      </c>
      <c r="P29" s="33"/>
      <c r="Q29" s="87"/>
      <c r="R29" s="87" t="s">
        <v>99</v>
      </c>
      <c r="S29" s="87"/>
      <c r="T29" s="87"/>
      <c r="U29" s="87" t="s">
        <v>99</v>
      </c>
      <c r="V29" s="90">
        <f t="shared" si="3"/>
        <v>8</v>
      </c>
      <c r="W29" s="11"/>
    </row>
    <row r="30" spans="1:23" s="11" customFormat="1" ht="12.95" customHeight="1" x14ac:dyDescent="0.2">
      <c r="A30" s="6">
        <v>3</v>
      </c>
      <c r="B30" s="7" t="s">
        <v>36</v>
      </c>
      <c r="C30" s="87"/>
      <c r="D30" s="87"/>
      <c r="E30" s="87"/>
      <c r="F30" s="87" t="s">
        <v>99</v>
      </c>
      <c r="G30" s="87" t="s">
        <v>99</v>
      </c>
      <c r="H30" s="87"/>
      <c r="I30" s="87"/>
      <c r="J30" s="87"/>
      <c r="K30" s="87" t="s">
        <v>99</v>
      </c>
      <c r="L30" s="87"/>
      <c r="M30" s="87"/>
      <c r="N30" s="87" t="s">
        <v>99</v>
      </c>
      <c r="O30" s="87"/>
      <c r="P30" s="33"/>
      <c r="Q30" s="87"/>
      <c r="R30" s="87" t="s">
        <v>99</v>
      </c>
      <c r="S30" s="87"/>
      <c r="T30" s="87"/>
      <c r="U30" s="87" t="s">
        <v>99</v>
      </c>
      <c r="V30" s="90">
        <f t="shared" si="3"/>
        <v>6</v>
      </c>
      <c r="W30" s="1"/>
    </row>
    <row r="31" spans="1:23" s="11" customFormat="1" ht="12.95" customHeight="1" x14ac:dyDescent="0.2">
      <c r="A31" s="9">
        <v>4</v>
      </c>
      <c r="B31" s="7" t="s">
        <v>40</v>
      </c>
      <c r="C31" s="87"/>
      <c r="D31" s="87"/>
      <c r="E31" s="87"/>
      <c r="F31" s="87" t="s">
        <v>99</v>
      </c>
      <c r="G31" s="87"/>
      <c r="H31" s="87" t="s">
        <v>99</v>
      </c>
      <c r="I31" s="87" t="s">
        <v>99</v>
      </c>
      <c r="J31" s="87"/>
      <c r="K31" s="87" t="s">
        <v>99</v>
      </c>
      <c r="L31" s="87"/>
      <c r="M31" s="87"/>
      <c r="N31" s="87"/>
      <c r="O31" s="87"/>
      <c r="P31" s="33"/>
      <c r="Q31" s="87"/>
      <c r="R31" s="87" t="s">
        <v>99</v>
      </c>
      <c r="S31" s="87"/>
      <c r="T31" s="87" t="s">
        <v>99</v>
      </c>
      <c r="U31" s="87" t="s">
        <v>99</v>
      </c>
      <c r="V31" s="90">
        <f t="shared" si="3"/>
        <v>7</v>
      </c>
      <c r="W31" s="1"/>
    </row>
    <row r="32" spans="1:23" s="11" customFormat="1" ht="12.95" customHeight="1" x14ac:dyDescent="0.2">
      <c r="A32" s="6">
        <v>5</v>
      </c>
      <c r="B32" s="7" t="s">
        <v>42</v>
      </c>
      <c r="C32" s="87"/>
      <c r="D32" s="87"/>
      <c r="E32" s="87"/>
      <c r="F32" s="87" t="s">
        <v>99</v>
      </c>
      <c r="G32" s="87" t="s">
        <v>99</v>
      </c>
      <c r="H32" s="87"/>
      <c r="I32" s="87"/>
      <c r="J32" s="87"/>
      <c r="K32" s="87"/>
      <c r="L32" s="87"/>
      <c r="M32" s="87"/>
      <c r="N32" s="87"/>
      <c r="O32" s="87" t="s">
        <v>99</v>
      </c>
      <c r="P32" s="33"/>
      <c r="Q32" s="87"/>
      <c r="R32" s="87" t="s">
        <v>99</v>
      </c>
      <c r="S32" s="87"/>
      <c r="T32" s="87" t="s">
        <v>99</v>
      </c>
      <c r="U32" s="87" t="s">
        <v>99</v>
      </c>
      <c r="V32" s="6">
        <f t="shared" si="3"/>
        <v>6</v>
      </c>
      <c r="W32" s="1"/>
    </row>
    <row r="33" spans="1:23" ht="12.95" customHeight="1" x14ac:dyDescent="0.2">
      <c r="A33" s="9">
        <v>6</v>
      </c>
      <c r="B33" s="7" t="s">
        <v>43</v>
      </c>
      <c r="C33" s="87"/>
      <c r="D33" s="87"/>
      <c r="E33" s="87" t="s">
        <v>99</v>
      </c>
      <c r="F33" s="87" t="s">
        <v>99</v>
      </c>
      <c r="G33" s="87"/>
      <c r="H33" s="87"/>
      <c r="I33" s="87" t="s">
        <v>99</v>
      </c>
      <c r="J33" s="87" t="s">
        <v>99</v>
      </c>
      <c r="K33" s="87" t="s">
        <v>99</v>
      </c>
      <c r="L33" s="87"/>
      <c r="M33" s="87" t="s">
        <v>99</v>
      </c>
      <c r="N33" s="87"/>
      <c r="O33" s="87" t="s">
        <v>99</v>
      </c>
      <c r="P33" s="33"/>
      <c r="Q33" s="87"/>
      <c r="R33" s="87" t="s">
        <v>99</v>
      </c>
      <c r="S33" s="87"/>
      <c r="T33" s="87" t="s">
        <v>99</v>
      </c>
      <c r="U33" s="87"/>
      <c r="V33" s="6">
        <f t="shared" si="3"/>
        <v>9</v>
      </c>
    </row>
    <row r="34" spans="1:23" ht="12.95" customHeight="1" x14ac:dyDescent="0.2">
      <c r="A34" s="6">
        <v>7</v>
      </c>
      <c r="B34" s="10" t="s">
        <v>37</v>
      </c>
      <c r="C34" s="87"/>
      <c r="D34" s="87"/>
      <c r="E34" s="87"/>
      <c r="F34" s="87" t="s">
        <v>99</v>
      </c>
      <c r="G34" s="87"/>
      <c r="H34" s="87"/>
      <c r="I34" s="87" t="s">
        <v>99</v>
      </c>
      <c r="J34" s="87" t="s">
        <v>99</v>
      </c>
      <c r="K34" s="87"/>
      <c r="L34" s="87"/>
      <c r="M34" s="87" t="s">
        <v>99</v>
      </c>
      <c r="N34" s="87"/>
      <c r="O34" s="87"/>
      <c r="P34" s="33" t="s">
        <v>99</v>
      </c>
      <c r="Q34" s="87"/>
      <c r="R34" s="87" t="s">
        <v>99</v>
      </c>
      <c r="S34" s="87"/>
      <c r="T34" s="87"/>
      <c r="U34" s="87" t="s">
        <v>99</v>
      </c>
      <c r="V34" s="6">
        <f t="shared" si="3"/>
        <v>7</v>
      </c>
      <c r="W34" s="11"/>
    </row>
    <row r="35" spans="1:23" ht="12.95" customHeight="1" x14ac:dyDescent="0.2">
      <c r="A35" s="9">
        <v>8</v>
      </c>
      <c r="B35" s="7" t="s">
        <v>44</v>
      </c>
      <c r="C35" s="87"/>
      <c r="D35" s="87"/>
      <c r="E35" s="87" t="s">
        <v>99</v>
      </c>
      <c r="F35" s="87" t="s">
        <v>99</v>
      </c>
      <c r="G35" s="87" t="s">
        <v>99</v>
      </c>
      <c r="H35" s="87" t="s">
        <v>99</v>
      </c>
      <c r="I35" s="87" t="s">
        <v>99</v>
      </c>
      <c r="J35" s="87" t="s">
        <v>99</v>
      </c>
      <c r="K35" s="87" t="s">
        <v>99</v>
      </c>
      <c r="L35" s="87"/>
      <c r="M35" s="87"/>
      <c r="N35" s="87"/>
      <c r="O35" s="87"/>
      <c r="P35" s="33"/>
      <c r="Q35" s="87"/>
      <c r="R35" s="87" t="s">
        <v>99</v>
      </c>
      <c r="S35" s="87"/>
      <c r="T35" s="87"/>
      <c r="U35" s="87"/>
      <c r="V35" s="90">
        <f t="shared" si="3"/>
        <v>8</v>
      </c>
    </row>
    <row r="36" spans="1:23" ht="12.95" customHeight="1" x14ac:dyDescent="0.2">
      <c r="A36" s="6">
        <v>9</v>
      </c>
      <c r="B36" s="10" t="s">
        <v>38</v>
      </c>
      <c r="C36" s="87"/>
      <c r="D36" s="87"/>
      <c r="E36" s="87"/>
      <c r="F36" s="87" t="s">
        <v>99</v>
      </c>
      <c r="G36" s="87"/>
      <c r="H36" s="87" t="s">
        <v>99</v>
      </c>
      <c r="I36" s="87" t="s">
        <v>99</v>
      </c>
      <c r="J36" s="87"/>
      <c r="K36" s="87" t="s">
        <v>99</v>
      </c>
      <c r="L36" s="87"/>
      <c r="M36" s="87"/>
      <c r="N36" s="87"/>
      <c r="O36" s="87"/>
      <c r="P36" s="33"/>
      <c r="Q36" s="87"/>
      <c r="R36" s="87" t="s">
        <v>99</v>
      </c>
      <c r="S36" s="87"/>
      <c r="T36" s="87" t="s">
        <v>99</v>
      </c>
      <c r="U36" s="87" t="s">
        <v>99</v>
      </c>
      <c r="V36" s="6">
        <f t="shared" si="3"/>
        <v>7</v>
      </c>
      <c r="W36" s="11"/>
    </row>
    <row r="37" spans="1:23" ht="12.95" customHeight="1" x14ac:dyDescent="0.2">
      <c r="A37" s="9">
        <v>10</v>
      </c>
      <c r="B37" s="7" t="s">
        <v>35</v>
      </c>
      <c r="C37" s="87"/>
      <c r="D37" s="87"/>
      <c r="E37" s="87"/>
      <c r="F37" s="87" t="s">
        <v>99</v>
      </c>
      <c r="G37" s="87"/>
      <c r="H37" s="87" t="s">
        <v>99</v>
      </c>
      <c r="I37" s="87" t="s">
        <v>99</v>
      </c>
      <c r="J37" s="87" t="s">
        <v>99</v>
      </c>
      <c r="K37" s="87" t="s">
        <v>99</v>
      </c>
      <c r="L37" s="87"/>
      <c r="M37" s="87" t="s">
        <v>99</v>
      </c>
      <c r="N37" s="87" t="s">
        <v>99</v>
      </c>
      <c r="O37" s="87" t="s">
        <v>99</v>
      </c>
      <c r="P37" s="33"/>
      <c r="Q37" s="87"/>
      <c r="R37" s="87"/>
      <c r="S37" s="87"/>
      <c r="T37" s="87"/>
      <c r="U37" s="87" t="s">
        <v>99</v>
      </c>
      <c r="V37" s="90">
        <f t="shared" si="3"/>
        <v>9</v>
      </c>
    </row>
    <row r="38" spans="1:23" s="5" customFormat="1" ht="12.95" customHeight="1" x14ac:dyDescent="0.2">
      <c r="A38" s="261" t="s">
        <v>45</v>
      </c>
      <c r="B38" s="262"/>
      <c r="C38" s="29">
        <f t="shared" ref="C38:U38" si="4">COUNTIF(C39:C52, "x")</f>
        <v>6</v>
      </c>
      <c r="D38" s="29">
        <f t="shared" si="4"/>
        <v>0</v>
      </c>
      <c r="E38" s="29">
        <f t="shared" si="4"/>
        <v>1</v>
      </c>
      <c r="F38" s="29">
        <f t="shared" si="4"/>
        <v>14</v>
      </c>
      <c r="G38" s="29">
        <f t="shared" si="4"/>
        <v>5</v>
      </c>
      <c r="H38" s="29">
        <f t="shared" si="4"/>
        <v>6</v>
      </c>
      <c r="I38" s="29">
        <f t="shared" si="4"/>
        <v>11</v>
      </c>
      <c r="J38" s="29">
        <f t="shared" si="4"/>
        <v>8</v>
      </c>
      <c r="K38" s="29">
        <f t="shared" si="4"/>
        <v>8</v>
      </c>
      <c r="L38" s="29">
        <f t="shared" si="4"/>
        <v>0</v>
      </c>
      <c r="M38" s="29">
        <f t="shared" si="4"/>
        <v>2</v>
      </c>
      <c r="N38" s="29">
        <f t="shared" si="4"/>
        <v>8</v>
      </c>
      <c r="O38" s="29">
        <f t="shared" si="4"/>
        <v>7</v>
      </c>
      <c r="P38" s="29">
        <f t="shared" si="4"/>
        <v>6</v>
      </c>
      <c r="Q38" s="29">
        <f t="shared" si="4"/>
        <v>3</v>
      </c>
      <c r="R38" s="29">
        <f t="shared" si="4"/>
        <v>10</v>
      </c>
      <c r="S38" s="29">
        <f t="shared" si="4"/>
        <v>4</v>
      </c>
      <c r="T38" s="29">
        <f t="shared" si="4"/>
        <v>11</v>
      </c>
      <c r="U38" s="29">
        <f t="shared" si="4"/>
        <v>13</v>
      </c>
      <c r="V38" s="32">
        <f>SUM(V39:V52)/14</f>
        <v>8.7857142857142865</v>
      </c>
    </row>
    <row r="39" spans="1:23" ht="12.95" customHeight="1" x14ac:dyDescent="0.2">
      <c r="A39" s="6">
        <v>1</v>
      </c>
      <c r="B39" s="7" t="s">
        <v>52</v>
      </c>
      <c r="C39" s="87"/>
      <c r="D39" s="87"/>
      <c r="E39" s="87"/>
      <c r="F39" s="87" t="s">
        <v>99</v>
      </c>
      <c r="G39" s="87"/>
      <c r="H39" s="87" t="s">
        <v>99</v>
      </c>
      <c r="I39" s="87" t="s">
        <v>99</v>
      </c>
      <c r="J39" s="87" t="s">
        <v>99</v>
      </c>
      <c r="K39" s="87"/>
      <c r="L39" s="87"/>
      <c r="M39" s="87"/>
      <c r="N39" s="87" t="s">
        <v>99</v>
      </c>
      <c r="O39" s="87"/>
      <c r="P39" s="33"/>
      <c r="Q39" s="87"/>
      <c r="R39" s="87" t="s">
        <v>99</v>
      </c>
      <c r="S39" s="87"/>
      <c r="T39" s="87" t="s">
        <v>99</v>
      </c>
      <c r="U39" s="87"/>
      <c r="V39" s="6">
        <f>COUNTIF(C39:U39,"x")</f>
        <v>7</v>
      </c>
    </row>
    <row r="40" spans="1:23" ht="12.75" customHeight="1" x14ac:dyDescent="0.2">
      <c r="A40" s="6">
        <v>2</v>
      </c>
      <c r="B40" s="7" t="s">
        <v>50</v>
      </c>
      <c r="C40" s="87"/>
      <c r="D40" s="87"/>
      <c r="E40" s="87"/>
      <c r="F40" s="87" t="s">
        <v>99</v>
      </c>
      <c r="G40" s="87"/>
      <c r="H40" s="87"/>
      <c r="I40" s="87" t="s">
        <v>99</v>
      </c>
      <c r="J40" s="87" t="s">
        <v>99</v>
      </c>
      <c r="K40" s="87" t="s">
        <v>99</v>
      </c>
      <c r="L40" s="87"/>
      <c r="M40" s="87"/>
      <c r="N40" s="87" t="s">
        <v>99</v>
      </c>
      <c r="O40" s="87"/>
      <c r="P40" s="33"/>
      <c r="Q40" s="87"/>
      <c r="R40" s="87" t="s">
        <v>99</v>
      </c>
      <c r="S40" s="87"/>
      <c r="T40" s="87" t="s">
        <v>99</v>
      </c>
      <c r="U40" s="87" t="s">
        <v>99</v>
      </c>
      <c r="V40" s="6">
        <f t="shared" ref="V40:V52" si="5">COUNTIF(C40:U40,"x")</f>
        <v>8</v>
      </c>
    </row>
    <row r="41" spans="1:23" ht="12.95" customHeight="1" x14ac:dyDescent="0.2">
      <c r="A41" s="6">
        <v>3</v>
      </c>
      <c r="B41" s="7" t="s">
        <v>47</v>
      </c>
      <c r="C41" s="87" t="s">
        <v>99</v>
      </c>
      <c r="D41" s="87"/>
      <c r="E41" s="87" t="s">
        <v>99</v>
      </c>
      <c r="F41" s="87" t="s">
        <v>99</v>
      </c>
      <c r="G41" s="87" t="s">
        <v>99</v>
      </c>
      <c r="H41" s="87" t="s">
        <v>99</v>
      </c>
      <c r="I41" s="87" t="s">
        <v>99</v>
      </c>
      <c r="J41" s="87" t="s">
        <v>99</v>
      </c>
      <c r="K41" s="87" t="s">
        <v>99</v>
      </c>
      <c r="L41" s="87"/>
      <c r="M41" s="87"/>
      <c r="N41" s="87"/>
      <c r="O41" s="87" t="s">
        <v>99</v>
      </c>
      <c r="P41" s="33" t="s">
        <v>99</v>
      </c>
      <c r="Q41" s="87"/>
      <c r="R41" s="87" t="s">
        <v>99</v>
      </c>
      <c r="S41" s="87" t="s">
        <v>99</v>
      </c>
      <c r="T41" s="87" t="s">
        <v>99</v>
      </c>
      <c r="U41" s="87" t="s">
        <v>99</v>
      </c>
      <c r="V41" s="6">
        <f t="shared" si="5"/>
        <v>14</v>
      </c>
    </row>
    <row r="42" spans="1:23" ht="12.95" customHeight="1" x14ac:dyDescent="0.2">
      <c r="A42" s="6">
        <v>4</v>
      </c>
      <c r="B42" s="7" t="s">
        <v>49</v>
      </c>
      <c r="C42" s="87" t="s">
        <v>99</v>
      </c>
      <c r="D42" s="87"/>
      <c r="E42" s="87"/>
      <c r="F42" s="87" t="s">
        <v>99</v>
      </c>
      <c r="G42" s="87"/>
      <c r="H42" s="87" t="s">
        <v>99</v>
      </c>
      <c r="I42" s="87"/>
      <c r="J42" s="87" t="s">
        <v>99</v>
      </c>
      <c r="K42" s="87" t="s">
        <v>99</v>
      </c>
      <c r="L42" s="87"/>
      <c r="M42" s="87"/>
      <c r="N42" s="87" t="s">
        <v>99</v>
      </c>
      <c r="O42" s="87"/>
      <c r="P42" s="33" t="s">
        <v>99</v>
      </c>
      <c r="Q42" s="87" t="s">
        <v>99</v>
      </c>
      <c r="R42" s="87" t="s">
        <v>99</v>
      </c>
      <c r="S42" s="87" t="s">
        <v>99</v>
      </c>
      <c r="T42" s="87" t="s">
        <v>99</v>
      </c>
      <c r="U42" s="87" t="s">
        <v>99</v>
      </c>
      <c r="V42" s="6">
        <f t="shared" si="5"/>
        <v>12</v>
      </c>
    </row>
    <row r="43" spans="1:23" ht="12.95" customHeight="1" x14ac:dyDescent="0.2">
      <c r="A43" s="6">
        <v>5</v>
      </c>
      <c r="B43" s="7" t="s">
        <v>59</v>
      </c>
      <c r="C43" s="87"/>
      <c r="D43" s="87"/>
      <c r="E43" s="87"/>
      <c r="F43" s="87" t="s">
        <v>99</v>
      </c>
      <c r="G43" s="87"/>
      <c r="H43" s="87"/>
      <c r="I43" s="87" t="s">
        <v>99</v>
      </c>
      <c r="J43" s="87" t="s">
        <v>99</v>
      </c>
      <c r="K43" s="87" t="s">
        <v>99</v>
      </c>
      <c r="L43" s="87"/>
      <c r="M43" s="87"/>
      <c r="N43" s="87"/>
      <c r="O43" s="87" t="s">
        <v>99</v>
      </c>
      <c r="P43" s="33"/>
      <c r="Q43" s="87"/>
      <c r="R43" s="87" t="s">
        <v>99</v>
      </c>
      <c r="S43" s="87" t="s">
        <v>99</v>
      </c>
      <c r="T43" s="87" t="s">
        <v>99</v>
      </c>
      <c r="U43" s="87" t="s">
        <v>99</v>
      </c>
      <c r="V43" s="6">
        <f t="shared" si="5"/>
        <v>9</v>
      </c>
    </row>
    <row r="44" spans="1:23" ht="12.95" customHeight="1" x14ac:dyDescent="0.2">
      <c r="A44" s="6">
        <v>6</v>
      </c>
      <c r="B44" s="7" t="s">
        <v>55</v>
      </c>
      <c r="C44" s="87"/>
      <c r="D44" s="87"/>
      <c r="E44" s="87"/>
      <c r="F44" s="87" t="s">
        <v>99</v>
      </c>
      <c r="G44" s="87" t="s">
        <v>99</v>
      </c>
      <c r="H44" s="87"/>
      <c r="I44" s="87" t="s">
        <v>99</v>
      </c>
      <c r="J44" s="87" t="s">
        <v>99</v>
      </c>
      <c r="K44" s="87"/>
      <c r="L44" s="87"/>
      <c r="M44" s="87"/>
      <c r="N44" s="87" t="s">
        <v>99</v>
      </c>
      <c r="O44" s="87"/>
      <c r="P44" s="33" t="s">
        <v>99</v>
      </c>
      <c r="Q44" s="87"/>
      <c r="R44" s="87"/>
      <c r="S44" s="87"/>
      <c r="T44" s="87" t="s">
        <v>99</v>
      </c>
      <c r="U44" s="87" t="s">
        <v>99</v>
      </c>
      <c r="V44" s="6">
        <f t="shared" si="5"/>
        <v>8</v>
      </c>
    </row>
    <row r="45" spans="1:23" ht="12.95" customHeight="1" x14ac:dyDescent="0.2">
      <c r="A45" s="6">
        <v>7</v>
      </c>
      <c r="B45" s="7" t="s">
        <v>54</v>
      </c>
      <c r="C45" s="87" t="s">
        <v>99</v>
      </c>
      <c r="D45" s="87"/>
      <c r="E45" s="87"/>
      <c r="F45" s="87" t="s">
        <v>99</v>
      </c>
      <c r="G45" s="87" t="s">
        <v>99</v>
      </c>
      <c r="H45" s="87" t="s">
        <v>99</v>
      </c>
      <c r="I45" s="87" t="s">
        <v>99</v>
      </c>
      <c r="J45" s="87" t="s">
        <v>99</v>
      </c>
      <c r="K45" s="87" t="s">
        <v>99</v>
      </c>
      <c r="L45" s="87"/>
      <c r="M45" s="87"/>
      <c r="N45" s="87" t="s">
        <v>99</v>
      </c>
      <c r="O45" s="87" t="s">
        <v>99</v>
      </c>
      <c r="P45" s="33" t="s">
        <v>99</v>
      </c>
      <c r="Q45" s="87"/>
      <c r="R45" s="87" t="s">
        <v>99</v>
      </c>
      <c r="S45" s="87" t="s">
        <v>99</v>
      </c>
      <c r="T45" s="87" t="s">
        <v>99</v>
      </c>
      <c r="U45" s="87" t="s">
        <v>99</v>
      </c>
      <c r="V45" s="6">
        <f t="shared" si="5"/>
        <v>14</v>
      </c>
    </row>
    <row r="46" spans="1:23" s="11" customFormat="1" ht="12.95" customHeight="1" x14ac:dyDescent="0.2">
      <c r="A46" s="6">
        <v>8</v>
      </c>
      <c r="B46" s="7" t="s">
        <v>51</v>
      </c>
      <c r="C46" s="87" t="s">
        <v>99</v>
      </c>
      <c r="D46" s="87"/>
      <c r="E46" s="87"/>
      <c r="F46" s="87" t="s">
        <v>99</v>
      </c>
      <c r="G46" s="87" t="s">
        <v>99</v>
      </c>
      <c r="H46" s="87" t="s">
        <v>99</v>
      </c>
      <c r="I46" s="87" t="s">
        <v>99</v>
      </c>
      <c r="J46" s="87"/>
      <c r="K46" s="87"/>
      <c r="L46" s="87"/>
      <c r="M46" s="87"/>
      <c r="N46" s="87"/>
      <c r="O46" s="87" t="s">
        <v>99</v>
      </c>
      <c r="P46" s="33"/>
      <c r="Q46" s="87"/>
      <c r="R46" s="87" t="s">
        <v>99</v>
      </c>
      <c r="S46" s="87"/>
      <c r="T46" s="87" t="s">
        <v>99</v>
      </c>
      <c r="U46" s="87" t="s">
        <v>99</v>
      </c>
      <c r="V46" s="6">
        <f t="shared" si="5"/>
        <v>9</v>
      </c>
      <c r="W46" s="1"/>
    </row>
    <row r="47" spans="1:23" ht="12.95" customHeight="1" x14ac:dyDescent="0.2">
      <c r="A47" s="6">
        <v>9</v>
      </c>
      <c r="B47" s="7" t="s">
        <v>48</v>
      </c>
      <c r="C47" s="87"/>
      <c r="D47" s="87"/>
      <c r="E47" s="87"/>
      <c r="F47" s="87" t="s">
        <v>99</v>
      </c>
      <c r="G47" s="87"/>
      <c r="H47" s="87"/>
      <c r="I47" s="87" t="s">
        <v>99</v>
      </c>
      <c r="J47" s="87"/>
      <c r="K47" s="87"/>
      <c r="L47" s="87"/>
      <c r="M47" s="87"/>
      <c r="N47" s="87" t="s">
        <v>99</v>
      </c>
      <c r="O47" s="87"/>
      <c r="P47" s="33"/>
      <c r="Q47" s="87" t="s">
        <v>99</v>
      </c>
      <c r="R47" s="87" t="s">
        <v>99</v>
      </c>
      <c r="S47" s="87"/>
      <c r="T47" s="87" t="s">
        <v>99</v>
      </c>
      <c r="U47" s="87" t="s">
        <v>99</v>
      </c>
      <c r="V47" s="6">
        <f t="shared" si="5"/>
        <v>7</v>
      </c>
    </row>
    <row r="48" spans="1:23" ht="12.95" customHeight="1" x14ac:dyDescent="0.2">
      <c r="A48" s="6">
        <v>10</v>
      </c>
      <c r="B48" s="10" t="s">
        <v>53</v>
      </c>
      <c r="C48" s="87"/>
      <c r="D48" s="87"/>
      <c r="E48" s="87"/>
      <c r="F48" s="87" t="s">
        <v>99</v>
      </c>
      <c r="G48" s="87"/>
      <c r="H48" s="87"/>
      <c r="I48" s="87"/>
      <c r="J48" s="87"/>
      <c r="K48" s="87"/>
      <c r="L48" s="87"/>
      <c r="M48" s="87"/>
      <c r="N48" s="87"/>
      <c r="O48" s="87" t="s">
        <v>99</v>
      </c>
      <c r="P48" s="33"/>
      <c r="Q48" s="87"/>
      <c r="R48" s="87" t="s">
        <v>99</v>
      </c>
      <c r="S48" s="87"/>
      <c r="T48" s="87"/>
      <c r="U48" s="87" t="s">
        <v>99</v>
      </c>
      <c r="V48" s="9">
        <f t="shared" si="5"/>
        <v>4</v>
      </c>
      <c r="W48" s="11"/>
    </row>
    <row r="49" spans="1:23" ht="12.95" customHeight="1" x14ac:dyDescent="0.2">
      <c r="A49" s="6">
        <v>11</v>
      </c>
      <c r="B49" s="7" t="s">
        <v>46</v>
      </c>
      <c r="C49" s="87" t="s">
        <v>99</v>
      </c>
      <c r="D49" s="87"/>
      <c r="E49" s="87"/>
      <c r="F49" s="87" t="s">
        <v>99</v>
      </c>
      <c r="G49" s="87" t="s">
        <v>99</v>
      </c>
      <c r="H49" s="87"/>
      <c r="I49" s="87"/>
      <c r="J49" s="87"/>
      <c r="K49" s="87" t="s">
        <v>99</v>
      </c>
      <c r="L49" s="87"/>
      <c r="M49" s="87"/>
      <c r="N49" s="87" t="s">
        <v>99</v>
      </c>
      <c r="O49" s="87" t="s">
        <v>99</v>
      </c>
      <c r="P49" s="33"/>
      <c r="Q49" s="87"/>
      <c r="R49" s="87"/>
      <c r="S49" s="87"/>
      <c r="T49" s="87"/>
      <c r="U49" s="87" t="s">
        <v>99</v>
      </c>
      <c r="V49" s="6">
        <f>COUNTIF(C49:U49,"x")</f>
        <v>7</v>
      </c>
    </row>
    <row r="50" spans="1:23" ht="12.95" customHeight="1" x14ac:dyDescent="0.2">
      <c r="A50" s="6">
        <v>12</v>
      </c>
      <c r="B50" s="7" t="s">
        <v>58</v>
      </c>
      <c r="C50" s="87"/>
      <c r="D50" s="87"/>
      <c r="E50" s="87"/>
      <c r="F50" s="87" t="s">
        <v>99</v>
      </c>
      <c r="G50" s="87"/>
      <c r="H50" s="87"/>
      <c r="I50" s="87" t="s">
        <v>99</v>
      </c>
      <c r="J50" s="87"/>
      <c r="K50" s="87" t="s">
        <v>99</v>
      </c>
      <c r="L50" s="87"/>
      <c r="M50" s="87"/>
      <c r="N50" s="87" t="s">
        <v>99</v>
      </c>
      <c r="O50" s="87" t="s">
        <v>99</v>
      </c>
      <c r="P50" s="33" t="s">
        <v>99</v>
      </c>
      <c r="Q50" s="87"/>
      <c r="R50" s="87" t="s">
        <v>99</v>
      </c>
      <c r="S50" s="87"/>
      <c r="T50" s="87" t="s">
        <v>99</v>
      </c>
      <c r="U50" s="87" t="s">
        <v>99</v>
      </c>
      <c r="V50" s="6">
        <f t="shared" si="5"/>
        <v>9</v>
      </c>
    </row>
    <row r="51" spans="1:23" ht="12.95" customHeight="1" x14ac:dyDescent="0.2">
      <c r="A51" s="6">
        <v>13</v>
      </c>
      <c r="B51" s="7" t="s">
        <v>56</v>
      </c>
      <c r="C51" s="87" t="s">
        <v>99</v>
      </c>
      <c r="D51" s="87"/>
      <c r="E51" s="87"/>
      <c r="F51" s="87" t="s">
        <v>99</v>
      </c>
      <c r="G51" s="87"/>
      <c r="H51" s="87" t="s">
        <v>99</v>
      </c>
      <c r="I51" s="87" t="s">
        <v>99</v>
      </c>
      <c r="J51" s="87"/>
      <c r="K51" s="87"/>
      <c r="L51" s="87"/>
      <c r="M51" s="87" t="s">
        <v>99</v>
      </c>
      <c r="N51" s="87"/>
      <c r="O51" s="87"/>
      <c r="P51" s="33"/>
      <c r="Q51" s="87" t="s">
        <v>99</v>
      </c>
      <c r="R51" s="87"/>
      <c r="S51" s="87"/>
      <c r="T51" s="87"/>
      <c r="U51" s="87" t="s">
        <v>99</v>
      </c>
      <c r="V51" s="6">
        <f t="shared" si="5"/>
        <v>7</v>
      </c>
    </row>
    <row r="52" spans="1:23" ht="12.95" customHeight="1" x14ac:dyDescent="0.2">
      <c r="A52" s="6">
        <v>14</v>
      </c>
      <c r="B52" s="7" t="s">
        <v>57</v>
      </c>
      <c r="C52" s="87"/>
      <c r="D52" s="87"/>
      <c r="E52" s="87"/>
      <c r="F52" s="87" t="s">
        <v>99</v>
      </c>
      <c r="G52" s="87"/>
      <c r="H52" s="87"/>
      <c r="I52" s="87" t="s">
        <v>99</v>
      </c>
      <c r="J52" s="87" t="s">
        <v>99</v>
      </c>
      <c r="K52" s="87" t="s">
        <v>99</v>
      </c>
      <c r="L52" s="87"/>
      <c r="M52" s="87" t="s">
        <v>99</v>
      </c>
      <c r="N52" s="87"/>
      <c r="O52" s="87"/>
      <c r="P52" s="33" t="s">
        <v>99</v>
      </c>
      <c r="Q52" s="87"/>
      <c r="R52" s="87"/>
      <c r="S52" s="87"/>
      <c r="T52" s="87" t="s">
        <v>99</v>
      </c>
      <c r="U52" s="87" t="s">
        <v>99</v>
      </c>
      <c r="V52" s="6">
        <f t="shared" si="5"/>
        <v>8</v>
      </c>
    </row>
    <row r="53" spans="1:23" s="5" customFormat="1" ht="12.95" customHeight="1" x14ac:dyDescent="0.2">
      <c r="A53" s="261" t="s">
        <v>60</v>
      </c>
      <c r="B53" s="262"/>
      <c r="C53" s="29">
        <f>COUNTIF(C54:C59, "x")</f>
        <v>1</v>
      </c>
      <c r="D53" s="29">
        <f t="shared" ref="D53:U53" si="6">COUNTIF(D54:D59, "x")</f>
        <v>0</v>
      </c>
      <c r="E53" s="29">
        <f t="shared" si="6"/>
        <v>1</v>
      </c>
      <c r="F53" s="29">
        <f t="shared" si="6"/>
        <v>6</v>
      </c>
      <c r="G53" s="29">
        <f t="shared" si="6"/>
        <v>0</v>
      </c>
      <c r="H53" s="29">
        <f t="shared" si="6"/>
        <v>4</v>
      </c>
      <c r="I53" s="29">
        <f t="shared" si="6"/>
        <v>6</v>
      </c>
      <c r="J53" s="29">
        <f t="shared" si="6"/>
        <v>6</v>
      </c>
      <c r="K53" s="29">
        <f t="shared" si="6"/>
        <v>5</v>
      </c>
      <c r="L53" s="29">
        <f t="shared" si="6"/>
        <v>0</v>
      </c>
      <c r="M53" s="29">
        <f t="shared" si="6"/>
        <v>1</v>
      </c>
      <c r="N53" s="29">
        <f t="shared" si="6"/>
        <v>5</v>
      </c>
      <c r="O53" s="29">
        <f t="shared" si="6"/>
        <v>2</v>
      </c>
      <c r="P53" s="29">
        <f t="shared" si="6"/>
        <v>1</v>
      </c>
      <c r="Q53" s="29">
        <f t="shared" si="6"/>
        <v>0</v>
      </c>
      <c r="R53" s="29">
        <f t="shared" si="6"/>
        <v>5</v>
      </c>
      <c r="S53" s="29">
        <f t="shared" si="6"/>
        <v>2</v>
      </c>
      <c r="T53" s="29">
        <f t="shared" si="6"/>
        <v>5</v>
      </c>
      <c r="U53" s="29">
        <f t="shared" si="6"/>
        <v>6</v>
      </c>
      <c r="V53" s="32">
        <f>SUM(V54:V59)/6</f>
        <v>9.3333333333333339</v>
      </c>
    </row>
    <row r="54" spans="1:23" ht="12.95" customHeight="1" x14ac:dyDescent="0.2">
      <c r="A54" s="9">
        <v>1</v>
      </c>
      <c r="B54" s="10" t="s">
        <v>64</v>
      </c>
      <c r="C54" s="87" t="s">
        <v>99</v>
      </c>
      <c r="D54" s="87"/>
      <c r="E54" s="87"/>
      <c r="F54" s="87" t="s">
        <v>99</v>
      </c>
      <c r="G54" s="33"/>
      <c r="H54" s="33"/>
      <c r="I54" s="33" t="s">
        <v>99</v>
      </c>
      <c r="J54" s="33" t="s">
        <v>99</v>
      </c>
      <c r="K54" s="33" t="s">
        <v>99</v>
      </c>
      <c r="L54" s="33"/>
      <c r="M54" s="33"/>
      <c r="N54" s="33" t="s">
        <v>99</v>
      </c>
      <c r="O54" s="33" t="s">
        <v>99</v>
      </c>
      <c r="P54" s="33"/>
      <c r="Q54" s="33"/>
      <c r="R54" s="33" t="s">
        <v>99</v>
      </c>
      <c r="S54" s="87" t="s">
        <v>99</v>
      </c>
      <c r="T54" s="87" t="s">
        <v>99</v>
      </c>
      <c r="U54" s="87" t="s">
        <v>99</v>
      </c>
      <c r="V54" s="90">
        <f t="shared" ref="V54:V59" si="7">COUNTIF(C54:U54,"x")</f>
        <v>11</v>
      </c>
      <c r="W54" s="11"/>
    </row>
    <row r="55" spans="1:23" ht="12.95" customHeight="1" x14ac:dyDescent="0.2">
      <c r="A55" s="6">
        <v>2</v>
      </c>
      <c r="B55" s="7" t="s">
        <v>62</v>
      </c>
      <c r="C55" s="87"/>
      <c r="D55" s="87"/>
      <c r="E55" s="87"/>
      <c r="F55" s="87" t="s">
        <v>99</v>
      </c>
      <c r="G55" s="33"/>
      <c r="H55" s="33" t="s">
        <v>99</v>
      </c>
      <c r="I55" s="33" t="s">
        <v>99</v>
      </c>
      <c r="J55" s="33" t="s">
        <v>99</v>
      </c>
      <c r="K55" s="33"/>
      <c r="L55" s="33"/>
      <c r="M55" s="33" t="s">
        <v>99</v>
      </c>
      <c r="N55" s="33" t="s">
        <v>99</v>
      </c>
      <c r="O55" s="33"/>
      <c r="P55" s="33" t="s">
        <v>99</v>
      </c>
      <c r="Q55" s="33"/>
      <c r="R55" s="33" t="s">
        <v>99</v>
      </c>
      <c r="S55" s="87"/>
      <c r="T55" s="87" t="s">
        <v>99</v>
      </c>
      <c r="U55" s="87" t="s">
        <v>99</v>
      </c>
      <c r="V55" s="90">
        <f t="shared" si="7"/>
        <v>10</v>
      </c>
    </row>
    <row r="56" spans="1:23" s="11" customFormat="1" ht="12.95" customHeight="1" x14ac:dyDescent="0.2">
      <c r="A56" s="9">
        <v>3</v>
      </c>
      <c r="B56" s="7" t="s">
        <v>61</v>
      </c>
      <c r="C56" s="87"/>
      <c r="D56" s="87"/>
      <c r="E56" s="87" t="s">
        <v>99</v>
      </c>
      <c r="F56" s="87" t="s">
        <v>99</v>
      </c>
      <c r="G56" s="87"/>
      <c r="H56" s="87"/>
      <c r="I56" s="87" t="s">
        <v>99</v>
      </c>
      <c r="J56" s="87" t="s">
        <v>99</v>
      </c>
      <c r="K56" s="87" t="s">
        <v>99</v>
      </c>
      <c r="L56" s="87"/>
      <c r="M56" s="87"/>
      <c r="N56" s="87"/>
      <c r="O56" s="87"/>
      <c r="P56" s="33"/>
      <c r="Q56" s="87"/>
      <c r="R56" s="87" t="s">
        <v>99</v>
      </c>
      <c r="S56" s="87"/>
      <c r="T56" s="87" t="s">
        <v>99</v>
      </c>
      <c r="U56" s="87" t="s">
        <v>99</v>
      </c>
      <c r="V56" s="6">
        <f t="shared" si="7"/>
        <v>8</v>
      </c>
      <c r="W56" s="1"/>
    </row>
    <row r="57" spans="1:23" s="11" customFormat="1" ht="12.95" customHeight="1" x14ac:dyDescent="0.2">
      <c r="A57" s="6">
        <v>4</v>
      </c>
      <c r="B57" s="7" t="s">
        <v>65</v>
      </c>
      <c r="C57" s="87"/>
      <c r="D57" s="87"/>
      <c r="E57" s="87"/>
      <c r="F57" s="87" t="s">
        <v>99</v>
      </c>
      <c r="G57" s="33"/>
      <c r="H57" s="33" t="s">
        <v>99</v>
      </c>
      <c r="I57" s="33" t="s">
        <v>99</v>
      </c>
      <c r="J57" s="33" t="s">
        <v>99</v>
      </c>
      <c r="K57" s="33" t="s">
        <v>99</v>
      </c>
      <c r="L57" s="33"/>
      <c r="M57" s="33"/>
      <c r="N57" s="33" t="s">
        <v>99</v>
      </c>
      <c r="O57" s="33"/>
      <c r="P57" s="33"/>
      <c r="Q57" s="33"/>
      <c r="R57" s="33" t="s">
        <v>99</v>
      </c>
      <c r="S57" s="87"/>
      <c r="T57" s="87" t="s">
        <v>99</v>
      </c>
      <c r="U57" s="87" t="s">
        <v>99</v>
      </c>
      <c r="V57" s="6">
        <f t="shared" si="7"/>
        <v>9</v>
      </c>
      <c r="W57" s="1"/>
    </row>
    <row r="58" spans="1:23" ht="12.95" customHeight="1" x14ac:dyDescent="0.2">
      <c r="A58" s="9">
        <v>5</v>
      </c>
      <c r="B58" s="7" t="s">
        <v>66</v>
      </c>
      <c r="C58" s="87"/>
      <c r="D58" s="87"/>
      <c r="E58" s="87"/>
      <c r="F58" s="87" t="s">
        <v>99</v>
      </c>
      <c r="G58" s="87"/>
      <c r="H58" s="87" t="s">
        <v>99</v>
      </c>
      <c r="I58" s="87" t="s">
        <v>99</v>
      </c>
      <c r="J58" s="87" t="s">
        <v>99</v>
      </c>
      <c r="K58" s="87" t="s">
        <v>99</v>
      </c>
      <c r="L58" s="87"/>
      <c r="M58" s="87"/>
      <c r="N58" s="87" t="s">
        <v>99</v>
      </c>
      <c r="O58" s="87"/>
      <c r="P58" s="33"/>
      <c r="Q58" s="87"/>
      <c r="R58" s="87"/>
      <c r="S58" s="87" t="s">
        <v>99</v>
      </c>
      <c r="T58" s="87" t="s">
        <v>99</v>
      </c>
      <c r="U58" s="87" t="s">
        <v>99</v>
      </c>
      <c r="V58" s="6">
        <f t="shared" si="7"/>
        <v>9</v>
      </c>
    </row>
    <row r="59" spans="1:23" ht="12.95" customHeight="1" x14ac:dyDescent="0.2">
      <c r="A59" s="6">
        <v>6</v>
      </c>
      <c r="B59" s="10" t="s">
        <v>63</v>
      </c>
      <c r="C59" s="87"/>
      <c r="D59" s="87"/>
      <c r="E59" s="87"/>
      <c r="F59" s="87" t="s">
        <v>99</v>
      </c>
      <c r="G59" s="33"/>
      <c r="H59" s="33" t="s">
        <v>99</v>
      </c>
      <c r="I59" s="33" t="s">
        <v>99</v>
      </c>
      <c r="J59" s="33" t="s">
        <v>99</v>
      </c>
      <c r="K59" s="33" t="s">
        <v>99</v>
      </c>
      <c r="L59" s="33"/>
      <c r="M59" s="33"/>
      <c r="N59" s="33" t="s">
        <v>99</v>
      </c>
      <c r="O59" s="33" t="s">
        <v>99</v>
      </c>
      <c r="P59" s="33"/>
      <c r="Q59" s="33"/>
      <c r="R59" s="33" t="s">
        <v>99</v>
      </c>
      <c r="S59" s="87"/>
      <c r="T59" s="87"/>
      <c r="U59" s="87" t="s">
        <v>99</v>
      </c>
      <c r="V59" s="9">
        <f t="shared" si="7"/>
        <v>9</v>
      </c>
      <c r="W59" s="11"/>
    </row>
    <row r="60" spans="1:23" s="5" customFormat="1" ht="12" customHeight="1" x14ac:dyDescent="0.2">
      <c r="A60" s="261" t="s">
        <v>67</v>
      </c>
      <c r="B60" s="262"/>
      <c r="C60" s="29">
        <f>COUNTIF(C61:C66, "x")</f>
        <v>2</v>
      </c>
      <c r="D60" s="29">
        <f t="shared" ref="D60:U60" si="8">COUNTIF(D61:D66, "x")</f>
        <v>1</v>
      </c>
      <c r="E60" s="29"/>
      <c r="F60" s="29">
        <f t="shared" si="8"/>
        <v>6</v>
      </c>
      <c r="G60" s="29">
        <f t="shared" si="8"/>
        <v>2</v>
      </c>
      <c r="H60" s="29">
        <f t="shared" si="8"/>
        <v>1</v>
      </c>
      <c r="I60" s="29">
        <f t="shared" si="8"/>
        <v>6</v>
      </c>
      <c r="J60" s="29">
        <f t="shared" si="8"/>
        <v>5</v>
      </c>
      <c r="K60" s="29">
        <f t="shared" si="8"/>
        <v>0</v>
      </c>
      <c r="L60" s="29">
        <f t="shared" si="8"/>
        <v>0</v>
      </c>
      <c r="M60" s="29">
        <f t="shared" si="8"/>
        <v>1</v>
      </c>
      <c r="N60" s="29">
        <f t="shared" si="8"/>
        <v>3</v>
      </c>
      <c r="O60" s="29">
        <f t="shared" si="8"/>
        <v>0</v>
      </c>
      <c r="P60" s="29">
        <f t="shared" si="8"/>
        <v>1</v>
      </c>
      <c r="Q60" s="29">
        <f t="shared" si="8"/>
        <v>2</v>
      </c>
      <c r="R60" s="29">
        <f t="shared" si="8"/>
        <v>6</v>
      </c>
      <c r="S60" s="29">
        <f t="shared" si="8"/>
        <v>2</v>
      </c>
      <c r="T60" s="29">
        <f t="shared" si="8"/>
        <v>6</v>
      </c>
      <c r="U60" s="29">
        <f t="shared" si="8"/>
        <v>5</v>
      </c>
      <c r="V60" s="32">
        <f>SUM(V61:V66)/6</f>
        <v>8.3333333333333339</v>
      </c>
    </row>
    <row r="61" spans="1:23" ht="12.95" customHeight="1" x14ac:dyDescent="0.2">
      <c r="A61" s="6">
        <v>1</v>
      </c>
      <c r="B61" s="7" t="s">
        <v>71</v>
      </c>
      <c r="C61" s="34"/>
      <c r="D61" s="34"/>
      <c r="E61" s="34"/>
      <c r="F61" s="34" t="s">
        <v>99</v>
      </c>
      <c r="G61" s="34"/>
      <c r="H61" s="33"/>
      <c r="I61" s="33" t="s">
        <v>99</v>
      </c>
      <c r="J61" s="33" t="s">
        <v>99</v>
      </c>
      <c r="K61" s="34"/>
      <c r="L61" s="34"/>
      <c r="M61" s="35"/>
      <c r="N61" s="34" t="s">
        <v>99</v>
      </c>
      <c r="O61" s="34"/>
      <c r="P61" s="33"/>
      <c r="Q61" s="34"/>
      <c r="R61" s="34" t="s">
        <v>99</v>
      </c>
      <c r="S61" s="34"/>
      <c r="T61" s="34" t="s">
        <v>99</v>
      </c>
      <c r="U61" s="34"/>
      <c r="V61" s="6">
        <f t="shared" ref="V61:V66" si="9">COUNTIF(C61:U61,"x")</f>
        <v>6</v>
      </c>
    </row>
    <row r="62" spans="1:23" ht="12.95" customHeight="1" x14ac:dyDescent="0.2">
      <c r="A62" s="6">
        <v>2</v>
      </c>
      <c r="B62" s="7" t="s">
        <v>69</v>
      </c>
      <c r="C62" s="34"/>
      <c r="D62" s="34"/>
      <c r="E62" s="34"/>
      <c r="F62" s="34" t="s">
        <v>99</v>
      </c>
      <c r="G62" s="34"/>
      <c r="H62" s="34"/>
      <c r="I62" s="34" t="s">
        <v>99</v>
      </c>
      <c r="J62" s="34" t="s">
        <v>99</v>
      </c>
      <c r="K62" s="34"/>
      <c r="L62" s="34"/>
      <c r="M62" s="35"/>
      <c r="N62" s="34"/>
      <c r="O62" s="34"/>
      <c r="P62" s="33"/>
      <c r="Q62" s="34" t="s">
        <v>99</v>
      </c>
      <c r="R62" s="34" t="s">
        <v>99</v>
      </c>
      <c r="S62" s="34"/>
      <c r="T62" s="34" t="s">
        <v>99</v>
      </c>
      <c r="U62" s="34" t="s">
        <v>99</v>
      </c>
      <c r="V62" s="90">
        <f t="shared" si="9"/>
        <v>7</v>
      </c>
    </row>
    <row r="63" spans="1:23" ht="12.95" customHeight="1" x14ac:dyDescent="0.2">
      <c r="A63" s="6">
        <v>3</v>
      </c>
      <c r="B63" s="10" t="s">
        <v>72</v>
      </c>
      <c r="C63" s="34" t="s">
        <v>99</v>
      </c>
      <c r="D63" s="34"/>
      <c r="E63" s="34"/>
      <c r="F63" s="34" t="s">
        <v>99</v>
      </c>
      <c r="G63" s="34" t="s">
        <v>99</v>
      </c>
      <c r="H63" s="33"/>
      <c r="I63" s="33" t="s">
        <v>99</v>
      </c>
      <c r="J63" s="33" t="s">
        <v>99</v>
      </c>
      <c r="K63" s="34"/>
      <c r="L63" s="34"/>
      <c r="M63" s="35"/>
      <c r="N63" s="34"/>
      <c r="O63" s="34"/>
      <c r="P63" s="33"/>
      <c r="Q63" s="34" t="s">
        <v>99</v>
      </c>
      <c r="R63" s="34" t="s">
        <v>99</v>
      </c>
      <c r="S63" s="34" t="s">
        <v>99</v>
      </c>
      <c r="T63" s="34" t="s">
        <v>99</v>
      </c>
      <c r="U63" s="34" t="s">
        <v>99</v>
      </c>
      <c r="V63" s="9">
        <f t="shared" si="9"/>
        <v>10</v>
      </c>
      <c r="W63" s="11"/>
    </row>
    <row r="64" spans="1:23" s="48" customFormat="1" ht="12.95" customHeight="1" x14ac:dyDescent="0.2">
      <c r="A64" s="46">
        <v>4</v>
      </c>
      <c r="B64" s="47" t="s">
        <v>68</v>
      </c>
      <c r="C64" s="34"/>
      <c r="D64" s="34"/>
      <c r="E64" s="34" t="s">
        <v>99</v>
      </c>
      <c r="F64" s="34" t="s">
        <v>99</v>
      </c>
      <c r="G64" s="34" t="s">
        <v>99</v>
      </c>
      <c r="H64" s="34" t="s">
        <v>99</v>
      </c>
      <c r="I64" s="34" t="s">
        <v>99</v>
      </c>
      <c r="J64" s="34" t="s">
        <v>99</v>
      </c>
      <c r="K64" s="34"/>
      <c r="L64" s="34"/>
      <c r="M64" s="35"/>
      <c r="N64" s="34" t="s">
        <v>99</v>
      </c>
      <c r="O64" s="34"/>
      <c r="P64" s="34"/>
      <c r="Q64" s="34"/>
      <c r="R64" s="34" t="s">
        <v>99</v>
      </c>
      <c r="S64" s="34" t="s">
        <v>99</v>
      </c>
      <c r="T64" s="34" t="s">
        <v>99</v>
      </c>
      <c r="U64" s="34" t="s">
        <v>99</v>
      </c>
      <c r="V64" s="46">
        <f t="shared" si="9"/>
        <v>11</v>
      </c>
    </row>
    <row r="65" spans="1:22" s="48" customFormat="1" ht="12.95" customHeight="1" x14ac:dyDescent="0.2">
      <c r="A65" s="46">
        <v>5</v>
      </c>
      <c r="B65" s="47" t="s">
        <v>70</v>
      </c>
      <c r="C65" s="34" t="s">
        <v>99</v>
      </c>
      <c r="D65" s="34" t="s">
        <v>99</v>
      </c>
      <c r="E65" s="34"/>
      <c r="F65" s="34" t="s">
        <v>99</v>
      </c>
      <c r="G65" s="34"/>
      <c r="H65" s="34"/>
      <c r="I65" s="34" t="s">
        <v>99</v>
      </c>
      <c r="J65" s="34"/>
      <c r="K65" s="34"/>
      <c r="L65" s="34"/>
      <c r="M65" s="35" t="s">
        <v>99</v>
      </c>
      <c r="N65" s="34"/>
      <c r="O65" s="34"/>
      <c r="P65" s="34"/>
      <c r="Q65" s="34"/>
      <c r="R65" s="34" t="s">
        <v>99</v>
      </c>
      <c r="S65" s="34"/>
      <c r="T65" s="34" t="s">
        <v>99</v>
      </c>
      <c r="U65" s="34" t="s">
        <v>99</v>
      </c>
      <c r="V65" s="46">
        <f t="shared" si="9"/>
        <v>8</v>
      </c>
    </row>
    <row r="66" spans="1:22" s="11" customFormat="1" ht="12.95" customHeight="1" x14ac:dyDescent="0.2">
      <c r="A66" s="6">
        <v>6</v>
      </c>
      <c r="B66" s="10" t="s">
        <v>73</v>
      </c>
      <c r="C66" s="34"/>
      <c r="D66" s="34"/>
      <c r="E66" s="34"/>
      <c r="F66" s="34" t="s">
        <v>99</v>
      </c>
      <c r="G66" s="34"/>
      <c r="H66" s="34"/>
      <c r="I66" s="34" t="s">
        <v>99</v>
      </c>
      <c r="J66" s="34" t="s">
        <v>99</v>
      </c>
      <c r="K66" s="34"/>
      <c r="L66" s="34"/>
      <c r="M66" s="35"/>
      <c r="N66" s="34" t="s">
        <v>99</v>
      </c>
      <c r="O66" s="34"/>
      <c r="P66" s="33" t="s">
        <v>99</v>
      </c>
      <c r="Q66" s="34"/>
      <c r="R66" s="34" t="s">
        <v>99</v>
      </c>
      <c r="S66" s="34"/>
      <c r="T66" s="34" t="s">
        <v>99</v>
      </c>
      <c r="U66" s="34" t="s">
        <v>99</v>
      </c>
      <c r="V66" s="9">
        <f t="shared" si="9"/>
        <v>8</v>
      </c>
    </row>
    <row r="67" spans="1:22" s="12" customFormat="1" ht="20.25" customHeight="1" x14ac:dyDescent="0.25">
      <c r="A67" s="261" t="s">
        <v>74</v>
      </c>
      <c r="B67" s="262"/>
      <c r="C67" s="29">
        <f>C6+C27+C38+C53+C60</f>
        <v>12</v>
      </c>
      <c r="D67" s="29">
        <f t="shared" ref="D67:T67" si="10">D6+D27+D38+D53+D60</f>
        <v>1</v>
      </c>
      <c r="E67" s="29">
        <f t="shared" si="10"/>
        <v>7</v>
      </c>
      <c r="F67" s="29">
        <f t="shared" si="10"/>
        <v>56</v>
      </c>
      <c r="G67" s="29">
        <f t="shared" si="10"/>
        <v>16</v>
      </c>
      <c r="H67" s="29">
        <f t="shared" si="10"/>
        <v>29</v>
      </c>
      <c r="I67" s="29">
        <f t="shared" si="10"/>
        <v>50</v>
      </c>
      <c r="J67" s="29">
        <f t="shared" si="10"/>
        <v>38</v>
      </c>
      <c r="K67" s="29">
        <f t="shared" si="10"/>
        <v>34</v>
      </c>
      <c r="L67" s="29">
        <f t="shared" si="10"/>
        <v>0</v>
      </c>
      <c r="M67" s="29">
        <f t="shared" si="10"/>
        <v>10</v>
      </c>
      <c r="N67" s="29">
        <f t="shared" si="10"/>
        <v>28</v>
      </c>
      <c r="O67" s="29">
        <f t="shared" si="10"/>
        <v>24</v>
      </c>
      <c r="P67" s="29">
        <f t="shared" si="10"/>
        <v>16</v>
      </c>
      <c r="Q67" s="29">
        <f t="shared" si="10"/>
        <v>6</v>
      </c>
      <c r="R67" s="29">
        <f t="shared" si="10"/>
        <v>48</v>
      </c>
      <c r="S67" s="29">
        <f t="shared" si="10"/>
        <v>18</v>
      </c>
      <c r="T67" s="29">
        <f t="shared" si="10"/>
        <v>45</v>
      </c>
      <c r="U67" s="29">
        <f>U6+U27+U38+U53+U60</f>
        <v>52</v>
      </c>
      <c r="V67" s="53">
        <f>(SUM(V61:V66)+SUM(V54:V59)+SUM(V39:V52)+SUM(V28:V37)+SUM(V7:V26))/56</f>
        <v>8.7678571428571423</v>
      </c>
    </row>
    <row r="68" spans="1:22" ht="16.5" customHeight="1" x14ac:dyDescent="0.2">
      <c r="A68" s="263" t="s">
        <v>75</v>
      </c>
      <c r="B68" s="264"/>
      <c r="C68" s="16">
        <f>100*C67/56</f>
        <v>21.428571428571427</v>
      </c>
      <c r="D68" s="17">
        <f t="shared" ref="D68:U68" si="11">100*D67/56</f>
        <v>1.7857142857142858</v>
      </c>
      <c r="E68" s="16">
        <f t="shared" si="11"/>
        <v>12.5</v>
      </c>
      <c r="F68" s="16">
        <f t="shared" si="11"/>
        <v>100</v>
      </c>
      <c r="G68" s="16">
        <f t="shared" si="11"/>
        <v>28.571428571428573</v>
      </c>
      <c r="H68" s="16">
        <f t="shared" si="11"/>
        <v>51.785714285714285</v>
      </c>
      <c r="I68" s="16">
        <f t="shared" si="11"/>
        <v>89.285714285714292</v>
      </c>
      <c r="J68" s="16">
        <f t="shared" si="11"/>
        <v>67.857142857142861</v>
      </c>
      <c r="K68" s="16">
        <f t="shared" si="11"/>
        <v>60.714285714285715</v>
      </c>
      <c r="L68" s="16">
        <f t="shared" si="11"/>
        <v>0</v>
      </c>
      <c r="M68" s="16">
        <f t="shared" si="11"/>
        <v>17.857142857142858</v>
      </c>
      <c r="N68" s="16">
        <f t="shared" si="11"/>
        <v>50</v>
      </c>
      <c r="O68" s="16">
        <f t="shared" si="11"/>
        <v>42.857142857142854</v>
      </c>
      <c r="P68" s="16">
        <f t="shared" si="11"/>
        <v>28.571428571428573</v>
      </c>
      <c r="Q68" s="16">
        <f>100*Q67/56</f>
        <v>10.714285714285714</v>
      </c>
      <c r="R68" s="16">
        <f t="shared" si="11"/>
        <v>85.714285714285708</v>
      </c>
      <c r="S68" s="16">
        <f t="shared" si="11"/>
        <v>32.142857142857146</v>
      </c>
      <c r="T68" s="16">
        <f t="shared" si="11"/>
        <v>80.357142857142861</v>
      </c>
      <c r="U68" s="16">
        <f t="shared" si="11"/>
        <v>92.857142857142861</v>
      </c>
      <c r="V68" s="16"/>
    </row>
    <row r="69" spans="1:22" ht="15" customHeight="1" x14ac:dyDescent="0.2">
      <c r="A69" s="265" t="s">
        <v>129</v>
      </c>
      <c r="B69" s="266"/>
      <c r="C69" s="266"/>
      <c r="D69" s="266"/>
      <c r="E69" s="266"/>
      <c r="F69" s="266"/>
      <c r="G69" s="266"/>
      <c r="H69" s="266"/>
      <c r="I69" s="266"/>
      <c r="J69" s="266"/>
      <c r="K69" s="266"/>
      <c r="L69" s="266"/>
      <c r="M69" s="266"/>
      <c r="N69" s="266"/>
      <c r="O69" s="266"/>
      <c r="P69" s="266"/>
      <c r="Q69" s="266"/>
      <c r="R69" s="266"/>
      <c r="S69" s="266"/>
      <c r="T69" s="266"/>
      <c r="U69" s="266"/>
      <c r="V69" s="267"/>
    </row>
    <row r="70" spans="1:22" ht="18" customHeight="1" x14ac:dyDescent="0.3">
      <c r="K70" s="13"/>
      <c r="L70" s="13"/>
      <c r="M70" s="13"/>
      <c r="N70" s="13"/>
      <c r="O70" s="13"/>
      <c r="P70" s="26"/>
      <c r="Q70" s="13"/>
      <c r="R70" s="13"/>
      <c r="S70" s="13"/>
      <c r="T70" s="13"/>
      <c r="U70" s="13"/>
      <c r="V70" s="14"/>
    </row>
    <row r="71" spans="1:22" ht="22.5" customHeight="1" x14ac:dyDescent="0.2">
      <c r="C71" s="268" t="s">
        <v>76</v>
      </c>
      <c r="D71" s="268" t="s">
        <v>77</v>
      </c>
      <c r="E71" s="268"/>
      <c r="F71" s="268"/>
      <c r="G71" s="268"/>
      <c r="H71" s="268" t="s">
        <v>78</v>
      </c>
      <c r="I71" s="268"/>
      <c r="K71" s="279"/>
      <c r="L71" s="268" t="s">
        <v>76</v>
      </c>
      <c r="M71" s="268" t="s">
        <v>77</v>
      </c>
      <c r="N71" s="268"/>
      <c r="O71" s="268"/>
      <c r="P71" s="268" t="s">
        <v>78</v>
      </c>
      <c r="Q71" s="268"/>
    </row>
    <row r="72" spans="1:22" ht="36.75" customHeight="1" x14ac:dyDescent="0.2">
      <c r="C72" s="268"/>
      <c r="D72" s="268"/>
      <c r="E72" s="268"/>
      <c r="F72" s="268"/>
      <c r="G72" s="268"/>
      <c r="H72" s="19" t="s">
        <v>79</v>
      </c>
      <c r="I72" s="19" t="s">
        <v>80</v>
      </c>
      <c r="K72" s="279"/>
      <c r="L72" s="268"/>
      <c r="M72" s="268"/>
      <c r="N72" s="268"/>
      <c r="O72" s="268"/>
      <c r="P72" s="19" t="s">
        <v>79</v>
      </c>
      <c r="Q72" s="19" t="s">
        <v>80</v>
      </c>
    </row>
    <row r="73" spans="1:22" ht="15.75" x14ac:dyDescent="0.2">
      <c r="C73" s="54">
        <v>1</v>
      </c>
      <c r="D73" s="273" t="s">
        <v>130</v>
      </c>
      <c r="E73" s="274"/>
      <c r="F73" s="274"/>
      <c r="G73" s="275"/>
      <c r="H73" s="19">
        <f>COUNTIF($V$28:$V$37,1)+COUNTIF($V$39:$V$52,1)+COUNTIF($V$7:$V$26,1)+COUNTIF($V$54:$V$59,1)+COUNTIF($V$61:$V$66,1)</f>
        <v>0</v>
      </c>
      <c r="I73" s="20">
        <f t="shared" ref="I73:I91" si="12">H73/$H$92*100</f>
        <v>0</v>
      </c>
      <c r="K73" s="88"/>
      <c r="L73" s="8">
        <v>1</v>
      </c>
      <c r="M73" s="273" t="s">
        <v>109</v>
      </c>
      <c r="N73" s="274"/>
      <c r="O73" s="275"/>
      <c r="P73" s="21">
        <f>C67</f>
        <v>12</v>
      </c>
      <c r="Q73" s="20">
        <f t="shared" ref="Q73:Q92" si="13">P73/$H$92*100</f>
        <v>21.428571428571427</v>
      </c>
    </row>
    <row r="74" spans="1:22" ht="15.75" x14ac:dyDescent="0.2">
      <c r="C74" s="54">
        <v>2</v>
      </c>
      <c r="D74" s="273" t="s">
        <v>128</v>
      </c>
      <c r="E74" s="274"/>
      <c r="F74" s="274"/>
      <c r="G74" s="275"/>
      <c r="H74" s="8">
        <f>COUNTIF($V$28:$V$37,2)+COUNTIF($V$39:$V$52,2)+COUNTIF($V$7:$V$26,2)+COUNTIF($V$54:$V$59,2)+COUNTIF($V$61:$V$66,2)</f>
        <v>0</v>
      </c>
      <c r="I74" s="20">
        <f t="shared" si="12"/>
        <v>0</v>
      </c>
      <c r="K74" s="88"/>
      <c r="L74" s="8">
        <v>2</v>
      </c>
      <c r="M74" s="273" t="s">
        <v>110</v>
      </c>
      <c r="N74" s="274"/>
      <c r="O74" s="275"/>
      <c r="P74" s="21">
        <f>D67</f>
        <v>1</v>
      </c>
      <c r="Q74" s="20">
        <f t="shared" si="13"/>
        <v>1.7857142857142856</v>
      </c>
    </row>
    <row r="75" spans="1:22" s="22" customFormat="1" ht="18" customHeight="1" x14ac:dyDescent="0.2">
      <c r="C75" s="54">
        <v>3</v>
      </c>
      <c r="D75" s="273" t="s">
        <v>81</v>
      </c>
      <c r="E75" s="274"/>
      <c r="F75" s="274"/>
      <c r="G75" s="275"/>
      <c r="H75" s="8">
        <f>COUNTIF($V$28:$V$37,3)+COUNTIF($V$39:$V$52,3)+COUNTIF($V$7:$V$26,3)+COUNTIF($V$54:$V$59,3)+COUNTIF($V$61:$V$66,3)</f>
        <v>0</v>
      </c>
      <c r="I75" s="20">
        <f t="shared" si="12"/>
        <v>0</v>
      </c>
      <c r="K75" s="88"/>
      <c r="L75" s="8">
        <v>3</v>
      </c>
      <c r="M75" s="273" t="s">
        <v>111</v>
      </c>
      <c r="N75" s="274"/>
      <c r="O75" s="275"/>
      <c r="P75" s="21">
        <f>E67</f>
        <v>7</v>
      </c>
      <c r="Q75" s="20">
        <f t="shared" si="13"/>
        <v>12.5</v>
      </c>
      <c r="T75" s="27"/>
    </row>
    <row r="76" spans="1:22" s="22" customFormat="1" ht="18" customHeight="1" x14ac:dyDescent="0.2">
      <c r="C76" s="54">
        <v>4</v>
      </c>
      <c r="D76" s="273" t="s">
        <v>82</v>
      </c>
      <c r="E76" s="274"/>
      <c r="F76" s="274"/>
      <c r="G76" s="275"/>
      <c r="H76" s="8">
        <f>COUNTIF($V$28:$V$37,4)+COUNTIF($V$39:$V$52,4)+COUNTIF($V$7:$V$26,4)+COUNTIF($V$54:$V$59,4)+COUNTIF($V$61:$V$66,4)</f>
        <v>1</v>
      </c>
      <c r="I76" s="20">
        <f t="shared" si="12"/>
        <v>1.7857142857142856</v>
      </c>
      <c r="K76" s="88"/>
      <c r="L76" s="8">
        <v>4</v>
      </c>
      <c r="M76" s="273" t="s">
        <v>112</v>
      </c>
      <c r="N76" s="274"/>
      <c r="O76" s="275"/>
      <c r="P76" s="21">
        <f>F67</f>
        <v>56</v>
      </c>
      <c r="Q76" s="20">
        <f t="shared" si="13"/>
        <v>100</v>
      </c>
      <c r="T76" s="27"/>
    </row>
    <row r="77" spans="1:22" s="22" customFormat="1" ht="18" customHeight="1" x14ac:dyDescent="0.2">
      <c r="C77" s="54">
        <v>5</v>
      </c>
      <c r="D77" s="273" t="s">
        <v>83</v>
      </c>
      <c r="E77" s="274"/>
      <c r="F77" s="274"/>
      <c r="G77" s="275"/>
      <c r="H77" s="8">
        <f>COUNTIF($V$28:$V$37,5)+COUNTIF($V$39:$V$52,5)+COUNTIF($V$7:$V$26,5)+COUNTIF($V$54:$V$59,5)+COUNTIF($V$61:$V$66,5)</f>
        <v>1</v>
      </c>
      <c r="I77" s="20">
        <f t="shared" si="12"/>
        <v>1.7857142857142856</v>
      </c>
      <c r="J77" s="23">
        <f>SUM(H77:H81)</f>
        <v>39</v>
      </c>
      <c r="K77" s="88"/>
      <c r="L77" s="8">
        <v>5</v>
      </c>
      <c r="M77" s="273" t="s">
        <v>113</v>
      </c>
      <c r="N77" s="274"/>
      <c r="O77" s="275"/>
      <c r="P77" s="21">
        <f>G67</f>
        <v>16</v>
      </c>
      <c r="Q77" s="20">
        <f t="shared" si="13"/>
        <v>28.571428571428569</v>
      </c>
      <c r="T77" s="27"/>
    </row>
    <row r="78" spans="1:22" s="22" customFormat="1" ht="18" customHeight="1" x14ac:dyDescent="0.2">
      <c r="C78" s="54">
        <v>6</v>
      </c>
      <c r="D78" s="273" t="s">
        <v>84</v>
      </c>
      <c r="E78" s="274"/>
      <c r="F78" s="274"/>
      <c r="G78" s="275"/>
      <c r="H78" s="8">
        <f>COUNTIF($V$28:$V$37,6)+COUNTIF($V$39:$V$52,6)+COUNTIF($V$7:$V$26,6)+COUNTIF($V$54:$V$59,6)+COUNTIF($V$61:$V$66,6)</f>
        <v>3</v>
      </c>
      <c r="I78" s="20">
        <f t="shared" si="12"/>
        <v>5.3571428571428568</v>
      </c>
      <c r="J78" s="23"/>
      <c r="K78" s="88"/>
      <c r="L78" s="8">
        <v>6</v>
      </c>
      <c r="M78" s="273" t="s">
        <v>114</v>
      </c>
      <c r="N78" s="274"/>
      <c r="O78" s="275"/>
      <c r="P78" s="21">
        <f>H67</f>
        <v>29</v>
      </c>
      <c r="Q78" s="20">
        <f t="shared" si="13"/>
        <v>51.785714285714292</v>
      </c>
      <c r="T78" s="27"/>
    </row>
    <row r="79" spans="1:22" s="22" customFormat="1" ht="18" customHeight="1" x14ac:dyDescent="0.2">
      <c r="C79" s="54">
        <v>7</v>
      </c>
      <c r="D79" s="273" t="s">
        <v>85</v>
      </c>
      <c r="E79" s="274"/>
      <c r="F79" s="274"/>
      <c r="G79" s="275"/>
      <c r="H79" s="8">
        <f>COUNTIF($V$28:$V$37,7)+COUNTIF($V$39:$V$52,7)+COUNTIF($V$7:$V$26,7)+COUNTIF($V$54:$V$59,7)+COUNTIF($V$61:$V$66,7)</f>
        <v>9</v>
      </c>
      <c r="I79" s="20">
        <f t="shared" si="12"/>
        <v>16.071428571428573</v>
      </c>
      <c r="J79" s="23"/>
      <c r="K79" s="88"/>
      <c r="L79" s="8">
        <v>7</v>
      </c>
      <c r="M79" s="273" t="s">
        <v>115</v>
      </c>
      <c r="N79" s="274"/>
      <c r="O79" s="275"/>
      <c r="P79" s="21">
        <f>I67</f>
        <v>50</v>
      </c>
      <c r="Q79" s="20">
        <f t="shared" si="13"/>
        <v>89.285714285714292</v>
      </c>
      <c r="T79" s="27"/>
    </row>
    <row r="80" spans="1:22" s="22" customFormat="1" ht="18" customHeight="1" x14ac:dyDescent="0.2">
      <c r="C80" s="54">
        <v>8</v>
      </c>
      <c r="D80" s="273" t="s">
        <v>86</v>
      </c>
      <c r="E80" s="274"/>
      <c r="F80" s="274"/>
      <c r="G80" s="275"/>
      <c r="H80" s="8">
        <f>COUNTIF($V$28:$V$37,8)+COUNTIF($V$39:$V$52,8)+COUNTIF($V$7:$V$26,8)+COUNTIF($V$54:$V$59,8)+COUNTIF($V$61:$V$66,8)</f>
        <v>12</v>
      </c>
      <c r="I80" s="20">
        <f t="shared" si="12"/>
        <v>21.428571428571427</v>
      </c>
      <c r="J80" s="23"/>
      <c r="K80" s="88"/>
      <c r="L80" s="8">
        <v>8</v>
      </c>
      <c r="M80" s="273" t="s">
        <v>116</v>
      </c>
      <c r="N80" s="274"/>
      <c r="O80" s="275"/>
      <c r="P80" s="21">
        <f>J67</f>
        <v>38</v>
      </c>
      <c r="Q80" s="20">
        <f t="shared" si="13"/>
        <v>67.857142857142861</v>
      </c>
      <c r="T80" s="27"/>
    </row>
    <row r="81" spans="3:20" s="22" customFormat="1" ht="18" customHeight="1" x14ac:dyDescent="0.2">
      <c r="C81" s="54">
        <v>9</v>
      </c>
      <c r="D81" s="273" t="s">
        <v>87</v>
      </c>
      <c r="E81" s="274"/>
      <c r="F81" s="274"/>
      <c r="G81" s="275"/>
      <c r="H81" s="8">
        <f>COUNTIF($V$28:$V$37,9)+COUNTIF($V$39:$V$52,9)+COUNTIF($V$7:$V$26,9)+COUNTIF($V$54:$V$59,9)+COUNTIF($V$61:$V$66,9)</f>
        <v>14</v>
      </c>
      <c r="I81" s="20">
        <f t="shared" si="12"/>
        <v>25</v>
      </c>
      <c r="K81" s="88"/>
      <c r="L81" s="8">
        <v>9</v>
      </c>
      <c r="M81" s="273" t="s">
        <v>117</v>
      </c>
      <c r="N81" s="274"/>
      <c r="O81" s="275"/>
      <c r="P81" s="21">
        <f>K67</f>
        <v>34</v>
      </c>
      <c r="Q81" s="20">
        <f t="shared" si="13"/>
        <v>60.714285714285708</v>
      </c>
      <c r="T81" s="27"/>
    </row>
    <row r="82" spans="3:20" s="22" customFormat="1" ht="18" customHeight="1" x14ac:dyDescent="0.2">
      <c r="C82" s="54">
        <v>10</v>
      </c>
      <c r="D82" s="273" t="s">
        <v>88</v>
      </c>
      <c r="E82" s="274"/>
      <c r="F82" s="274"/>
      <c r="G82" s="275"/>
      <c r="H82" s="8">
        <f>COUNTIF($V$28:$V$37,10)+COUNTIF($V$39:$V$52,10)+COUNTIF($V$7:$V$26,10)+COUNTIF($V$54:$V$59,10)+COUNTIF($V$61:$V$66,10)</f>
        <v>6</v>
      </c>
      <c r="I82" s="20">
        <f t="shared" si="12"/>
        <v>10.714285714285714</v>
      </c>
      <c r="K82" s="88"/>
      <c r="L82" s="8">
        <v>10</v>
      </c>
      <c r="M82" s="273" t="s">
        <v>118</v>
      </c>
      <c r="N82" s="274"/>
      <c r="O82" s="275"/>
      <c r="P82" s="21">
        <f>L67</f>
        <v>0</v>
      </c>
      <c r="Q82" s="20">
        <f t="shared" si="13"/>
        <v>0</v>
      </c>
      <c r="T82" s="27"/>
    </row>
    <row r="83" spans="3:20" s="22" customFormat="1" ht="18" customHeight="1" x14ac:dyDescent="0.2">
      <c r="C83" s="54">
        <v>11</v>
      </c>
      <c r="D83" s="273" t="s">
        <v>89</v>
      </c>
      <c r="E83" s="274"/>
      <c r="F83" s="274"/>
      <c r="G83" s="275"/>
      <c r="H83" s="8">
        <f>COUNTIF($V$28:$V$37,11)+COUNTIF($V$39:$V$52,11)+COUNTIF($V$7:$V$26,11)+COUNTIF($V$54:$V$59,11)+COUNTIF($V$61:$V$66,11)</f>
        <v>5</v>
      </c>
      <c r="I83" s="20">
        <f t="shared" si="12"/>
        <v>8.9285714285714288</v>
      </c>
      <c r="K83" s="88"/>
      <c r="L83" s="8">
        <v>11</v>
      </c>
      <c r="M83" s="273" t="s">
        <v>119</v>
      </c>
      <c r="N83" s="274"/>
      <c r="O83" s="275"/>
      <c r="P83" s="21">
        <f>M67</f>
        <v>10</v>
      </c>
      <c r="Q83" s="20">
        <f t="shared" si="13"/>
        <v>17.857142857142858</v>
      </c>
      <c r="T83" s="27"/>
    </row>
    <row r="84" spans="3:20" s="22" customFormat="1" ht="18" customHeight="1" x14ac:dyDescent="0.2">
      <c r="C84" s="54">
        <v>12</v>
      </c>
      <c r="D84" s="273" t="s">
        <v>90</v>
      </c>
      <c r="E84" s="274"/>
      <c r="F84" s="274"/>
      <c r="G84" s="275"/>
      <c r="H84" s="8">
        <f>COUNTIF($V$28:$V$37,12)+COUNTIF($V$39:$V$52,12)+COUNTIF($V$7:$V$26,12)+COUNTIF($V$54:$V$59,12)+COUNTIF($V$61:$V$66,12)</f>
        <v>3</v>
      </c>
      <c r="I84" s="20">
        <f t="shared" si="12"/>
        <v>5.3571428571428568</v>
      </c>
      <c r="K84" s="88"/>
      <c r="L84" s="8">
        <v>12</v>
      </c>
      <c r="M84" s="273" t="s">
        <v>120</v>
      </c>
      <c r="N84" s="274"/>
      <c r="O84" s="275"/>
      <c r="P84" s="21">
        <f>N67</f>
        <v>28</v>
      </c>
      <c r="Q84" s="20">
        <f t="shared" si="13"/>
        <v>50</v>
      </c>
      <c r="T84" s="27"/>
    </row>
    <row r="85" spans="3:20" s="22" customFormat="1" ht="18" customHeight="1" x14ac:dyDescent="0.2">
      <c r="C85" s="54">
        <v>13</v>
      </c>
      <c r="D85" s="273" t="s">
        <v>91</v>
      </c>
      <c r="E85" s="274"/>
      <c r="F85" s="274"/>
      <c r="G85" s="275"/>
      <c r="H85" s="8">
        <f>COUNTIF($V$28:$V$37,13)+COUNTIF($V$39:$V$52,13)+COUNTIF($V$7:$V$26,13)+COUNTIF($V$54:$V$59,13)+COUNTIF($V$61:$V$66,13)</f>
        <v>0</v>
      </c>
      <c r="I85" s="20">
        <f t="shared" si="12"/>
        <v>0</v>
      </c>
      <c r="K85" s="88"/>
      <c r="L85" s="8">
        <v>13</v>
      </c>
      <c r="M85" s="273" t="s">
        <v>121</v>
      </c>
      <c r="N85" s="274"/>
      <c r="O85" s="275"/>
      <c r="P85" s="21">
        <f>O67</f>
        <v>24</v>
      </c>
      <c r="Q85" s="20">
        <f t="shared" si="13"/>
        <v>42.857142857142854</v>
      </c>
      <c r="T85" s="27"/>
    </row>
    <row r="86" spans="3:20" s="22" customFormat="1" ht="18" customHeight="1" x14ac:dyDescent="0.2">
      <c r="C86" s="54">
        <v>14</v>
      </c>
      <c r="D86" s="273" t="s">
        <v>92</v>
      </c>
      <c r="E86" s="274"/>
      <c r="F86" s="274"/>
      <c r="G86" s="275"/>
      <c r="H86" s="8">
        <f>COUNTIF($V$28:$V$37,14)+COUNTIF($V$39:$V$52,14)+COUNTIF($V$7:$V$26,14)+COUNTIF($V$54:$V$59,14)+COUNTIF($V$61:$V$66,14)</f>
        <v>2</v>
      </c>
      <c r="I86" s="20">
        <f t="shared" si="12"/>
        <v>3.5714285714285712</v>
      </c>
      <c r="K86" s="88"/>
      <c r="L86" s="8">
        <v>14</v>
      </c>
      <c r="M86" s="273" t="s">
        <v>122</v>
      </c>
      <c r="N86" s="274"/>
      <c r="O86" s="275"/>
      <c r="P86" s="21">
        <f>P67</f>
        <v>16</v>
      </c>
      <c r="Q86" s="20">
        <f t="shared" si="13"/>
        <v>28.571428571428569</v>
      </c>
      <c r="T86" s="27"/>
    </row>
    <row r="87" spans="3:20" s="22" customFormat="1" ht="18" customHeight="1" x14ac:dyDescent="0.2">
      <c r="C87" s="54">
        <v>15</v>
      </c>
      <c r="D87" s="273" t="s">
        <v>93</v>
      </c>
      <c r="E87" s="274"/>
      <c r="F87" s="274"/>
      <c r="G87" s="275"/>
      <c r="H87" s="8">
        <f>COUNTIF($V$28:$V$37,15)+COUNTIF($V$39:$V$52,15)+COUNTIF($V$7:$V$26,15)+COUNTIF($V$54:$V$59,15)+COUNTIF($V$61:$V$66,15)</f>
        <v>0</v>
      </c>
      <c r="I87" s="20">
        <f t="shared" si="12"/>
        <v>0</v>
      </c>
      <c r="K87" s="88"/>
      <c r="L87" s="8">
        <v>15</v>
      </c>
      <c r="M87" s="273" t="s">
        <v>123</v>
      </c>
      <c r="N87" s="274"/>
      <c r="O87" s="275"/>
      <c r="P87" s="21">
        <f>Q67</f>
        <v>6</v>
      </c>
      <c r="Q87" s="20">
        <f t="shared" si="13"/>
        <v>10.714285714285714</v>
      </c>
      <c r="T87" s="27"/>
    </row>
    <row r="88" spans="3:20" s="22" customFormat="1" ht="18" customHeight="1" x14ac:dyDescent="0.2">
      <c r="C88" s="54">
        <v>16</v>
      </c>
      <c r="D88" s="273" t="s">
        <v>94</v>
      </c>
      <c r="E88" s="274"/>
      <c r="F88" s="274"/>
      <c r="G88" s="275"/>
      <c r="H88" s="8">
        <f>COUNTIF($V$28:$V$37,16)+COUNTIF($V$39:$V$52,16)+COUNTIF($V$7:$V$26,16)+COUNTIF($V$54:$V$59,16)+COUNTIF($V$61:$V$66,16)</f>
        <v>0</v>
      </c>
      <c r="I88" s="20">
        <f t="shared" si="12"/>
        <v>0</v>
      </c>
      <c r="K88" s="88"/>
      <c r="L88" s="8">
        <v>16</v>
      </c>
      <c r="M88" s="273" t="s">
        <v>124</v>
      </c>
      <c r="N88" s="274"/>
      <c r="O88" s="275"/>
      <c r="P88" s="21">
        <f>R67</f>
        <v>48</v>
      </c>
      <c r="Q88" s="20">
        <f t="shared" si="13"/>
        <v>85.714285714285708</v>
      </c>
      <c r="T88" s="27"/>
    </row>
    <row r="89" spans="3:20" s="22" customFormat="1" ht="18" customHeight="1" x14ac:dyDescent="0.2">
      <c r="C89" s="54">
        <v>17</v>
      </c>
      <c r="D89" s="273" t="s">
        <v>95</v>
      </c>
      <c r="E89" s="274"/>
      <c r="F89" s="274"/>
      <c r="G89" s="275"/>
      <c r="H89" s="8">
        <f>COUNTIF($V$28:$V$37,17)+COUNTIF($V$39:$V$52,17)+COUNTIF($V$7:$V$26,17)+COUNTIF($V$54:$V$59,17)+COUNTIF($V$61:$V$66,17)</f>
        <v>0</v>
      </c>
      <c r="I89" s="20">
        <f t="shared" si="12"/>
        <v>0</v>
      </c>
      <c r="K89" s="88"/>
      <c r="L89" s="8">
        <v>17</v>
      </c>
      <c r="M89" s="273" t="s">
        <v>125</v>
      </c>
      <c r="N89" s="274"/>
      <c r="O89" s="275"/>
      <c r="P89" s="21">
        <f>S67</f>
        <v>18</v>
      </c>
      <c r="Q89" s="20">
        <f t="shared" si="13"/>
        <v>32.142857142857146</v>
      </c>
      <c r="T89" s="27"/>
    </row>
    <row r="90" spans="3:20" s="22" customFormat="1" ht="18" customHeight="1" x14ac:dyDescent="0.2">
      <c r="C90" s="54">
        <v>18</v>
      </c>
      <c r="D90" s="273" t="s">
        <v>96</v>
      </c>
      <c r="E90" s="274"/>
      <c r="F90" s="274"/>
      <c r="G90" s="275"/>
      <c r="H90" s="8">
        <f>COUNTIF($V$28:$V$37,18)+COUNTIF($V$39:$V$52,18)+COUNTIF($V$7:$V$26,18)+COUNTIF($V$54:$V$59,18)+COUNTIF($V$61:$V$66,18)</f>
        <v>0</v>
      </c>
      <c r="I90" s="20">
        <f t="shared" si="12"/>
        <v>0</v>
      </c>
      <c r="K90" s="88"/>
      <c r="L90" s="8">
        <v>18</v>
      </c>
      <c r="M90" s="273" t="s">
        <v>126</v>
      </c>
      <c r="N90" s="274"/>
      <c r="O90" s="275"/>
      <c r="P90" s="8">
        <f>T67</f>
        <v>45</v>
      </c>
      <c r="Q90" s="20">
        <f t="shared" si="13"/>
        <v>80.357142857142861</v>
      </c>
      <c r="T90" s="27"/>
    </row>
    <row r="91" spans="3:20" s="22" customFormat="1" ht="18" customHeight="1" x14ac:dyDescent="0.2">
      <c r="C91" s="54">
        <v>19</v>
      </c>
      <c r="D91" s="273" t="s">
        <v>97</v>
      </c>
      <c r="E91" s="274"/>
      <c r="F91" s="274"/>
      <c r="G91" s="275"/>
      <c r="H91" s="8">
        <f>COUNTIF($V$28:$V$37,19)+COUNTIF($V$39:$V$52,19)+COUNTIF($V$7:$V$26,19)+COUNTIF($V$54:$V$59,19)+COUNTIF($V$61:$V$66,19)</f>
        <v>0</v>
      </c>
      <c r="I91" s="20">
        <f t="shared" si="12"/>
        <v>0</v>
      </c>
      <c r="K91" s="88"/>
      <c r="L91" s="8">
        <v>19</v>
      </c>
      <c r="M91" s="273" t="s">
        <v>127</v>
      </c>
      <c r="N91" s="274"/>
      <c r="O91" s="275"/>
      <c r="P91" s="8">
        <f>U67</f>
        <v>52</v>
      </c>
      <c r="Q91" s="20">
        <f t="shared" si="13"/>
        <v>92.857142857142861</v>
      </c>
      <c r="T91" s="27"/>
    </row>
    <row r="92" spans="3:20" s="22" customFormat="1" ht="18" customHeight="1" x14ac:dyDescent="0.2">
      <c r="C92" s="276" t="s">
        <v>98</v>
      </c>
      <c r="D92" s="277"/>
      <c r="E92" s="277"/>
      <c r="F92" s="277"/>
      <c r="G92" s="278"/>
      <c r="H92" s="68">
        <f>SUM(H74:H91)</f>
        <v>56</v>
      </c>
      <c r="I92" s="55">
        <v>100</v>
      </c>
      <c r="L92" s="76"/>
      <c r="M92" s="76"/>
      <c r="N92" s="76"/>
      <c r="O92" s="76"/>
      <c r="P92" s="77">
        <v>55</v>
      </c>
      <c r="Q92" s="78">
        <f t="shared" si="13"/>
        <v>98.214285714285708</v>
      </c>
      <c r="T92" s="27"/>
    </row>
    <row r="93" spans="3:20" ht="18" customHeight="1" x14ac:dyDescent="0.2">
      <c r="K93" s="75">
        <v>19</v>
      </c>
      <c r="L93" s="65"/>
      <c r="P93" s="1"/>
      <c r="T93" s="28"/>
    </row>
    <row r="94" spans="3:20" x14ac:dyDescent="0.2">
      <c r="L94" s="65"/>
    </row>
    <row r="95" spans="3:20" x14ac:dyDescent="0.2">
      <c r="L95" s="65"/>
      <c r="M95" s="65"/>
    </row>
    <row r="96" spans="3:20" x14ac:dyDescent="0.2">
      <c r="L96" s="65"/>
      <c r="M96" s="65"/>
    </row>
    <row r="97" spans="12:17" x14ac:dyDescent="0.2">
      <c r="L97" s="66"/>
      <c r="M97" s="66"/>
      <c r="N97" s="5"/>
      <c r="O97" s="5"/>
      <c r="P97" s="67"/>
      <c r="Q97" s="5"/>
    </row>
    <row r="98" spans="12:17" s="5" customFormat="1" x14ac:dyDescent="0.2">
      <c r="L98" s="66"/>
      <c r="M98" s="66"/>
      <c r="P98" s="67"/>
    </row>
    <row r="99" spans="12:17" s="5" customFormat="1" x14ac:dyDescent="0.2">
      <c r="L99" s="65"/>
      <c r="M99" s="65"/>
      <c r="N99" s="1"/>
      <c r="O99" s="1"/>
      <c r="P99" s="11"/>
      <c r="Q99" s="1"/>
    </row>
    <row r="100" spans="12:17" x14ac:dyDescent="0.2">
      <c r="L100" s="65"/>
      <c r="M100" s="65"/>
    </row>
    <row r="101" spans="12:17" x14ac:dyDescent="0.2">
      <c r="L101" s="65"/>
      <c r="M101" s="65"/>
    </row>
    <row r="102" spans="12:17" x14ac:dyDescent="0.2">
      <c r="L102" s="65"/>
    </row>
    <row r="103" spans="12:17" x14ac:dyDescent="0.2">
      <c r="L103" s="66"/>
      <c r="M103" s="5"/>
      <c r="N103" s="5"/>
      <c r="O103" s="5"/>
      <c r="P103" s="67"/>
      <c r="Q103" s="5"/>
    </row>
    <row r="104" spans="12:17" s="5" customFormat="1" x14ac:dyDescent="0.2">
      <c r="L104" s="66"/>
      <c r="P104" s="67"/>
    </row>
    <row r="105" spans="12:17" s="5" customFormat="1" x14ac:dyDescent="0.2">
      <c r="L105" s="65"/>
      <c r="M105" s="1"/>
      <c r="N105" s="1"/>
      <c r="O105" s="1"/>
      <c r="P105" s="11"/>
      <c r="Q105" s="1"/>
    </row>
    <row r="106" spans="12:17" x14ac:dyDescent="0.2">
      <c r="L106" s="65"/>
    </row>
  </sheetData>
  <mergeCells count="56">
    <mergeCell ref="D87:G87"/>
    <mergeCell ref="M87:O87"/>
    <mergeCell ref="D91:G91"/>
    <mergeCell ref="M91:O91"/>
    <mergeCell ref="C92:G92"/>
    <mergeCell ref="D88:G88"/>
    <mergeCell ref="M88:O88"/>
    <mergeCell ref="D89:G89"/>
    <mergeCell ref="M89:O89"/>
    <mergeCell ref="D90:G90"/>
    <mergeCell ref="M90:O90"/>
    <mergeCell ref="D84:G84"/>
    <mergeCell ref="M84:O84"/>
    <mergeCell ref="D85:G85"/>
    <mergeCell ref="M85:O85"/>
    <mergeCell ref="D86:G86"/>
    <mergeCell ref="M86:O86"/>
    <mergeCell ref="D81:G81"/>
    <mergeCell ref="M81:O81"/>
    <mergeCell ref="D82:G82"/>
    <mergeCell ref="M82:O82"/>
    <mergeCell ref="D83:G83"/>
    <mergeCell ref="M83:O83"/>
    <mergeCell ref="D78:G78"/>
    <mergeCell ref="M78:O78"/>
    <mergeCell ref="D79:G79"/>
    <mergeCell ref="M79:O79"/>
    <mergeCell ref="D80:G80"/>
    <mergeCell ref="M80:O80"/>
    <mergeCell ref="D76:G76"/>
    <mergeCell ref="M76:O76"/>
    <mergeCell ref="D77:G77"/>
    <mergeCell ref="M77:O77"/>
    <mergeCell ref="D75:G75"/>
    <mergeCell ref="M75:O75"/>
    <mergeCell ref="K71:K72"/>
    <mergeCell ref="L71:L72"/>
    <mergeCell ref="M71:O72"/>
    <mergeCell ref="P71:Q71"/>
    <mergeCell ref="M74:O74"/>
    <mergeCell ref="D73:G73"/>
    <mergeCell ref="M73:O73"/>
    <mergeCell ref="D74:G74"/>
    <mergeCell ref="A53:B53"/>
    <mergeCell ref="A1:V1"/>
    <mergeCell ref="A5:B5"/>
    <mergeCell ref="A6:B6"/>
    <mergeCell ref="A27:B27"/>
    <mergeCell ref="A38:B38"/>
    <mergeCell ref="A60:B60"/>
    <mergeCell ref="A67:B67"/>
    <mergeCell ref="A68:B68"/>
    <mergeCell ref="A69:V69"/>
    <mergeCell ref="C71:C72"/>
    <mergeCell ref="D71:G72"/>
    <mergeCell ref="H71:I71"/>
  </mergeCells>
  <printOptions horizontalCentered="1"/>
  <pageMargins left="0.15748031496062992" right="0.15748031496062992" top="0.35433070866141736" bottom="0.27559055118110237" header="0.15748031496062992" footer="0.15748031496062992"/>
  <pageSetup paperSize="9" fitToHeight="3" orientation="landscape" r:id="rId1"/>
  <headerFooter alignWithMargins="0">
    <oddFooter>&amp;C&amp;"Times New Roman,Regular"Trang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zoomScaleNormal="100" workbookViewId="0">
      <selection activeCell="D60" sqref="D60:E60"/>
    </sheetView>
  </sheetViews>
  <sheetFormatPr defaultRowHeight="12.75" x14ac:dyDescent="0.2"/>
  <cols>
    <col min="1" max="1" width="3.5703125" style="1" bestFit="1" customWidth="1"/>
    <col min="2" max="2" width="17.28515625" style="1" bestFit="1" customWidth="1"/>
    <col min="3" max="3" width="7.28515625" style="1" customWidth="1"/>
    <col min="4" max="4" width="7" style="1" customWidth="1"/>
    <col min="5" max="5" width="5.7109375" style="1" customWidth="1"/>
    <col min="6" max="6" width="4.7109375" style="1" bestFit="1" customWidth="1"/>
    <col min="7" max="7" width="7.28515625" style="1" customWidth="1"/>
    <col min="8" max="8" width="5.42578125" style="1" bestFit="1" customWidth="1"/>
    <col min="9" max="9" width="6" style="1" customWidth="1"/>
    <col min="10" max="10" width="7.28515625" style="1" customWidth="1"/>
    <col min="11" max="11" width="6.140625" style="1" customWidth="1"/>
    <col min="12" max="12" width="10.140625" style="1" bestFit="1" customWidth="1"/>
    <col min="13" max="13" width="15.5703125" style="1" customWidth="1"/>
    <col min="14" max="14" width="7" style="1" customWidth="1"/>
    <col min="15" max="15" width="5.7109375" style="1" customWidth="1"/>
    <col min="16" max="16" width="5.85546875" style="11" customWidth="1"/>
    <col min="17" max="17" width="6.140625" style="1" customWidth="1"/>
    <col min="18" max="18" width="5" style="1" customWidth="1"/>
    <col min="19" max="19" width="5.85546875" style="1" customWidth="1"/>
    <col min="20" max="20" width="6.5703125" style="1" customWidth="1"/>
    <col min="21" max="21" width="5.5703125" style="1" customWidth="1"/>
    <col min="22" max="22" width="5.140625" style="1" customWidth="1"/>
    <col min="23" max="16384" width="9.140625" style="1"/>
  </cols>
  <sheetData>
    <row r="1" spans="1:23" ht="48.75" customHeight="1" x14ac:dyDescent="0.2">
      <c r="A1" s="270" t="s">
        <v>134</v>
      </c>
      <c r="B1" s="270"/>
      <c r="C1" s="270"/>
      <c r="D1" s="270"/>
      <c r="E1" s="270"/>
      <c r="F1" s="270"/>
      <c r="G1" s="270"/>
      <c r="H1" s="270"/>
      <c r="I1" s="270"/>
      <c r="J1" s="270"/>
      <c r="K1" s="270"/>
      <c r="L1" s="270"/>
      <c r="M1" s="270"/>
      <c r="N1" s="270"/>
      <c r="O1" s="270"/>
      <c r="P1" s="270"/>
      <c r="Q1" s="270"/>
      <c r="R1" s="270"/>
      <c r="S1" s="270"/>
      <c r="T1" s="270"/>
      <c r="U1" s="270"/>
      <c r="V1" s="270"/>
    </row>
    <row r="2" spans="1:23" ht="4.5" customHeight="1" x14ac:dyDescent="0.2">
      <c r="C2" s="15"/>
      <c r="D2" s="15"/>
      <c r="E2" s="15"/>
      <c r="F2" s="15"/>
      <c r="G2" s="15"/>
      <c r="H2" s="15"/>
      <c r="I2" s="15"/>
      <c r="J2" s="15"/>
      <c r="K2" s="15"/>
      <c r="L2" s="15"/>
      <c r="M2" s="15"/>
      <c r="N2" s="15"/>
      <c r="O2" s="15"/>
      <c r="P2" s="24"/>
      <c r="Q2" s="15"/>
      <c r="R2" s="15"/>
      <c r="S2" s="15"/>
      <c r="T2" s="15"/>
      <c r="U2" s="15"/>
      <c r="V2" s="15"/>
    </row>
    <row r="3" spans="1:23" s="18" customFormat="1" ht="86.25" customHeight="1" x14ac:dyDescent="0.2">
      <c r="A3" s="3" t="s">
        <v>76</v>
      </c>
      <c r="B3" s="2" t="s">
        <v>108</v>
      </c>
      <c r="C3" s="2" t="s">
        <v>0</v>
      </c>
      <c r="D3" s="2" t="s">
        <v>1</v>
      </c>
      <c r="E3" s="2" t="s">
        <v>2</v>
      </c>
      <c r="F3" s="3" t="s">
        <v>3</v>
      </c>
      <c r="G3" s="2" t="s">
        <v>4</v>
      </c>
      <c r="H3" s="2" t="s">
        <v>5</v>
      </c>
      <c r="I3" s="2" t="s">
        <v>101</v>
      </c>
      <c r="J3" s="2" t="s">
        <v>100</v>
      </c>
      <c r="K3" s="2" t="s">
        <v>6</v>
      </c>
      <c r="L3" s="2" t="s">
        <v>7</v>
      </c>
      <c r="M3" s="2" t="s">
        <v>8</v>
      </c>
      <c r="N3" s="2" t="s">
        <v>102</v>
      </c>
      <c r="O3" s="2" t="s">
        <v>103</v>
      </c>
      <c r="P3" s="25" t="s">
        <v>104</v>
      </c>
      <c r="Q3" s="2" t="s">
        <v>9</v>
      </c>
      <c r="R3" s="2" t="s">
        <v>10</v>
      </c>
      <c r="S3" s="2" t="s">
        <v>105</v>
      </c>
      <c r="T3" s="2" t="s">
        <v>106</v>
      </c>
      <c r="U3" s="2" t="s">
        <v>107</v>
      </c>
      <c r="V3" s="4" t="s">
        <v>11</v>
      </c>
    </row>
    <row r="4" spans="1:23" s="40" customFormat="1" ht="8.25" customHeight="1" x14ac:dyDescent="0.2">
      <c r="A4" s="36"/>
      <c r="B4" s="37"/>
      <c r="C4" s="38">
        <v>1</v>
      </c>
      <c r="D4" s="38">
        <v>2</v>
      </c>
      <c r="E4" s="38">
        <v>3</v>
      </c>
      <c r="F4" s="38">
        <v>4</v>
      </c>
      <c r="G4" s="38">
        <v>5</v>
      </c>
      <c r="H4" s="38">
        <v>6</v>
      </c>
      <c r="I4" s="38">
        <v>7</v>
      </c>
      <c r="J4" s="38">
        <v>8</v>
      </c>
      <c r="K4" s="38">
        <v>9</v>
      </c>
      <c r="L4" s="38">
        <v>10</v>
      </c>
      <c r="M4" s="38">
        <v>11</v>
      </c>
      <c r="N4" s="38">
        <v>12</v>
      </c>
      <c r="O4" s="38">
        <v>13</v>
      </c>
      <c r="P4" s="39">
        <v>14</v>
      </c>
      <c r="Q4" s="38">
        <v>15</v>
      </c>
      <c r="R4" s="38">
        <v>16</v>
      </c>
      <c r="S4" s="38">
        <v>17</v>
      </c>
      <c r="T4" s="38">
        <v>18</v>
      </c>
      <c r="U4" s="38">
        <v>19</v>
      </c>
      <c r="V4" s="38">
        <v>20</v>
      </c>
    </row>
    <row r="5" spans="1:23" x14ac:dyDescent="0.2">
      <c r="A5" s="271" t="s">
        <v>12</v>
      </c>
      <c r="B5" s="272"/>
      <c r="C5" s="30"/>
      <c r="D5" s="30"/>
      <c r="E5" s="30"/>
      <c r="F5" s="30"/>
      <c r="G5" s="30"/>
      <c r="H5" s="30"/>
      <c r="I5" s="30"/>
      <c r="J5" s="30"/>
      <c r="K5" s="30"/>
      <c r="L5" s="30"/>
      <c r="M5" s="30"/>
      <c r="N5" s="30"/>
      <c r="O5" s="30"/>
      <c r="P5" s="31"/>
      <c r="Q5" s="30"/>
      <c r="R5" s="30"/>
      <c r="S5" s="30"/>
      <c r="T5" s="30"/>
      <c r="U5" s="30"/>
      <c r="V5" s="30"/>
    </row>
    <row r="6" spans="1:23" s="5" customFormat="1" ht="12.95" customHeight="1" x14ac:dyDescent="0.2">
      <c r="A6" s="261" t="s">
        <v>13</v>
      </c>
      <c r="B6" s="262"/>
      <c r="C6" s="29">
        <f>COUNTIF(C7:C26,"x")</f>
        <v>19</v>
      </c>
      <c r="D6" s="29">
        <f t="shared" ref="D6:U6" si="0">COUNTIF(D7:D26,"x")</f>
        <v>3</v>
      </c>
      <c r="E6" s="29">
        <f t="shared" si="0"/>
        <v>9</v>
      </c>
      <c r="F6" s="29">
        <f t="shared" si="0"/>
        <v>20</v>
      </c>
      <c r="G6" s="29">
        <f t="shared" si="0"/>
        <v>16</v>
      </c>
      <c r="H6" s="29">
        <f t="shared" si="0"/>
        <v>18</v>
      </c>
      <c r="I6" s="29">
        <f t="shared" si="0"/>
        <v>20</v>
      </c>
      <c r="J6" s="29">
        <f t="shared" si="0"/>
        <v>20</v>
      </c>
      <c r="K6" s="29">
        <f t="shared" si="0"/>
        <v>19</v>
      </c>
      <c r="L6" s="29">
        <f t="shared" si="0"/>
        <v>0</v>
      </c>
      <c r="M6" s="29">
        <f t="shared" si="0"/>
        <v>5</v>
      </c>
      <c r="N6" s="29">
        <f t="shared" si="0"/>
        <v>13</v>
      </c>
      <c r="O6" s="29">
        <f t="shared" si="0"/>
        <v>15</v>
      </c>
      <c r="P6" s="29">
        <f t="shared" si="0"/>
        <v>16</v>
      </c>
      <c r="Q6" s="29">
        <f t="shared" si="0"/>
        <v>9</v>
      </c>
      <c r="R6" s="29">
        <f t="shared" si="0"/>
        <v>20</v>
      </c>
      <c r="S6" s="29">
        <f t="shared" si="0"/>
        <v>15</v>
      </c>
      <c r="T6" s="29">
        <f t="shared" si="0"/>
        <v>20</v>
      </c>
      <c r="U6" s="29">
        <f t="shared" si="0"/>
        <v>20</v>
      </c>
      <c r="V6" s="32">
        <f>SUM(V7:V26)/20</f>
        <v>13.85</v>
      </c>
    </row>
    <row r="7" spans="1:23" ht="12.95" customHeight="1" x14ac:dyDescent="0.2">
      <c r="A7" s="6">
        <v>1</v>
      </c>
      <c r="B7" s="7" t="s">
        <v>19</v>
      </c>
      <c r="C7" s="79" t="s">
        <v>99</v>
      </c>
      <c r="D7" s="79"/>
      <c r="E7" s="79" t="s">
        <v>99</v>
      </c>
      <c r="F7" s="79" t="s">
        <v>99</v>
      </c>
      <c r="G7" s="79" t="s">
        <v>99</v>
      </c>
      <c r="H7" s="79" t="s">
        <v>99</v>
      </c>
      <c r="I7" s="79" t="s">
        <v>99</v>
      </c>
      <c r="J7" s="79" t="s">
        <v>99</v>
      </c>
      <c r="K7" s="79" t="s">
        <v>99</v>
      </c>
      <c r="L7" s="79"/>
      <c r="M7" s="79"/>
      <c r="N7" s="79"/>
      <c r="O7" s="79" t="s">
        <v>99</v>
      </c>
      <c r="P7" s="33"/>
      <c r="Q7" s="79"/>
      <c r="R7" s="79" t="s">
        <v>99</v>
      </c>
      <c r="S7" s="79" t="s">
        <v>99</v>
      </c>
      <c r="T7" s="79" t="s">
        <v>99</v>
      </c>
      <c r="U7" s="79" t="s">
        <v>99</v>
      </c>
      <c r="V7" s="6">
        <f t="shared" ref="V7:V25" si="1">COUNTIF(C7:U7,"x")</f>
        <v>13</v>
      </c>
    </row>
    <row r="8" spans="1:23" ht="12.95" customHeight="1" x14ac:dyDescent="0.2">
      <c r="A8" s="6">
        <v>2</v>
      </c>
      <c r="B8" s="7" t="s">
        <v>32</v>
      </c>
      <c r="C8" s="79" t="s">
        <v>99</v>
      </c>
      <c r="D8" s="79"/>
      <c r="E8" s="79"/>
      <c r="F8" s="79" t="s">
        <v>99</v>
      </c>
      <c r="G8" s="79" t="s">
        <v>99</v>
      </c>
      <c r="H8" s="79" t="s">
        <v>99</v>
      </c>
      <c r="I8" s="79" t="s">
        <v>99</v>
      </c>
      <c r="J8" s="79" t="s">
        <v>99</v>
      </c>
      <c r="K8" s="79" t="s">
        <v>99</v>
      </c>
      <c r="L8" s="79"/>
      <c r="M8" s="79"/>
      <c r="N8" s="79" t="s">
        <v>99</v>
      </c>
      <c r="O8" s="79" t="s">
        <v>99</v>
      </c>
      <c r="P8" s="33" t="s">
        <v>99</v>
      </c>
      <c r="Q8" s="79" t="s">
        <v>99</v>
      </c>
      <c r="R8" s="79" t="s">
        <v>99</v>
      </c>
      <c r="S8" s="79" t="s">
        <v>99</v>
      </c>
      <c r="T8" s="79" t="s">
        <v>99</v>
      </c>
      <c r="U8" s="79" t="s">
        <v>99</v>
      </c>
      <c r="V8" s="6">
        <f t="shared" si="1"/>
        <v>15</v>
      </c>
    </row>
    <row r="9" spans="1:23" ht="12.95" customHeight="1" x14ac:dyDescent="0.2">
      <c r="A9" s="6">
        <v>3</v>
      </c>
      <c r="B9" s="7" t="s">
        <v>31</v>
      </c>
      <c r="C9" s="79" t="s">
        <v>99</v>
      </c>
      <c r="D9" s="79"/>
      <c r="E9" s="79"/>
      <c r="F9" s="79" t="s">
        <v>99</v>
      </c>
      <c r="G9" s="79" t="s">
        <v>99</v>
      </c>
      <c r="H9" s="79" t="s">
        <v>99</v>
      </c>
      <c r="I9" s="79" t="s">
        <v>99</v>
      </c>
      <c r="J9" s="79" t="s">
        <v>99</v>
      </c>
      <c r="K9" s="79" t="s">
        <v>99</v>
      </c>
      <c r="L9" s="79"/>
      <c r="M9" s="79"/>
      <c r="N9" s="79"/>
      <c r="O9" s="79"/>
      <c r="P9" s="33" t="s">
        <v>99</v>
      </c>
      <c r="Q9" s="79" t="s">
        <v>99</v>
      </c>
      <c r="R9" s="79" t="s">
        <v>99</v>
      </c>
      <c r="S9" s="79" t="s">
        <v>99</v>
      </c>
      <c r="T9" s="79" t="s">
        <v>99</v>
      </c>
      <c r="U9" s="79" t="s">
        <v>99</v>
      </c>
      <c r="V9" s="6">
        <f t="shared" si="1"/>
        <v>13</v>
      </c>
    </row>
    <row r="10" spans="1:23" ht="12.95" customHeight="1" x14ac:dyDescent="0.2">
      <c r="A10" s="6">
        <v>4</v>
      </c>
      <c r="B10" s="7" t="s">
        <v>33</v>
      </c>
      <c r="C10" s="79" t="s">
        <v>99</v>
      </c>
      <c r="D10" s="79"/>
      <c r="E10" s="79" t="s">
        <v>99</v>
      </c>
      <c r="F10" s="79" t="s">
        <v>99</v>
      </c>
      <c r="G10" s="79" t="s">
        <v>99</v>
      </c>
      <c r="H10" s="79"/>
      <c r="I10" s="79" t="s">
        <v>99</v>
      </c>
      <c r="J10" s="79" t="s">
        <v>99</v>
      </c>
      <c r="K10" s="79" t="s">
        <v>99</v>
      </c>
      <c r="L10" s="79"/>
      <c r="M10" s="79" t="s">
        <v>99</v>
      </c>
      <c r="N10" s="79" t="s">
        <v>99</v>
      </c>
      <c r="O10" s="79" t="s">
        <v>99</v>
      </c>
      <c r="P10" s="33"/>
      <c r="Q10" s="79"/>
      <c r="R10" s="79" t="s">
        <v>99</v>
      </c>
      <c r="S10" s="79" t="s">
        <v>99</v>
      </c>
      <c r="T10" s="79" t="s">
        <v>99</v>
      </c>
      <c r="U10" s="79" t="s">
        <v>99</v>
      </c>
      <c r="V10" s="6">
        <f t="shared" si="1"/>
        <v>14</v>
      </c>
    </row>
    <row r="11" spans="1:23" s="11" customFormat="1" ht="12.95" customHeight="1" x14ac:dyDescent="0.2">
      <c r="A11" s="6">
        <v>5</v>
      </c>
      <c r="B11" s="7" t="s">
        <v>17</v>
      </c>
      <c r="C11" s="79" t="s">
        <v>99</v>
      </c>
      <c r="D11" s="79"/>
      <c r="E11" s="79"/>
      <c r="F11" s="79" t="s">
        <v>99</v>
      </c>
      <c r="G11" s="79" t="s">
        <v>99</v>
      </c>
      <c r="H11" s="79" t="s">
        <v>99</v>
      </c>
      <c r="I11" s="79" t="s">
        <v>99</v>
      </c>
      <c r="J11" s="79" t="s">
        <v>99</v>
      </c>
      <c r="K11" s="79" t="s">
        <v>99</v>
      </c>
      <c r="L11" s="79"/>
      <c r="M11" s="79"/>
      <c r="N11" s="79"/>
      <c r="O11" s="79" t="s">
        <v>99</v>
      </c>
      <c r="P11" s="33" t="s">
        <v>99</v>
      </c>
      <c r="Q11" s="79"/>
      <c r="R11" s="79" t="s">
        <v>99</v>
      </c>
      <c r="S11" s="79" t="s">
        <v>99</v>
      </c>
      <c r="T11" s="79" t="s">
        <v>99</v>
      </c>
      <c r="U11" s="79" t="s">
        <v>99</v>
      </c>
      <c r="V11" s="6">
        <f t="shared" si="1"/>
        <v>13</v>
      </c>
      <c r="W11" s="1"/>
    </row>
    <row r="12" spans="1:23" ht="12.95" customHeight="1" x14ac:dyDescent="0.2">
      <c r="A12" s="6">
        <v>6</v>
      </c>
      <c r="B12" s="10" t="s">
        <v>30</v>
      </c>
      <c r="C12" s="79" t="s">
        <v>99</v>
      </c>
      <c r="D12" s="79"/>
      <c r="E12" s="79" t="s">
        <v>99</v>
      </c>
      <c r="F12" s="79" t="s">
        <v>99</v>
      </c>
      <c r="G12" s="79" t="s">
        <v>99</v>
      </c>
      <c r="H12" s="79" t="s">
        <v>99</v>
      </c>
      <c r="I12" s="79" t="s">
        <v>99</v>
      </c>
      <c r="J12" s="79" t="s">
        <v>99</v>
      </c>
      <c r="K12" s="79" t="s">
        <v>99</v>
      </c>
      <c r="L12" s="79"/>
      <c r="M12" s="79" t="s">
        <v>99</v>
      </c>
      <c r="N12" s="79" t="s">
        <v>99</v>
      </c>
      <c r="O12" s="79"/>
      <c r="P12" s="33" t="s">
        <v>99</v>
      </c>
      <c r="Q12" s="79"/>
      <c r="R12" s="79" t="s">
        <v>99</v>
      </c>
      <c r="S12" s="79" t="s">
        <v>99</v>
      </c>
      <c r="T12" s="79" t="s">
        <v>99</v>
      </c>
      <c r="U12" s="79" t="s">
        <v>99</v>
      </c>
      <c r="V12" s="6">
        <f t="shared" si="1"/>
        <v>15</v>
      </c>
      <c r="W12" s="11"/>
    </row>
    <row r="13" spans="1:23" s="11" customFormat="1" ht="12.95" customHeight="1" x14ac:dyDescent="0.2">
      <c r="A13" s="6">
        <v>7</v>
      </c>
      <c r="B13" s="10" t="s">
        <v>28</v>
      </c>
      <c r="C13" s="79" t="s">
        <v>99</v>
      </c>
      <c r="D13" s="79" t="s">
        <v>99</v>
      </c>
      <c r="E13" s="79"/>
      <c r="F13" s="79" t="s">
        <v>99</v>
      </c>
      <c r="G13" s="79" t="s">
        <v>99</v>
      </c>
      <c r="H13" s="79" t="s">
        <v>99</v>
      </c>
      <c r="I13" s="79" t="s">
        <v>99</v>
      </c>
      <c r="J13" s="79" t="s">
        <v>99</v>
      </c>
      <c r="K13" s="79" t="s">
        <v>99</v>
      </c>
      <c r="L13" s="79"/>
      <c r="M13" s="79"/>
      <c r="N13" s="79"/>
      <c r="O13" s="79" t="s">
        <v>99</v>
      </c>
      <c r="P13" s="33" t="s">
        <v>99</v>
      </c>
      <c r="Q13" s="79"/>
      <c r="R13" s="79" t="s">
        <v>99</v>
      </c>
      <c r="S13" s="79"/>
      <c r="T13" s="79" t="s">
        <v>99</v>
      </c>
      <c r="U13" s="79" t="s">
        <v>99</v>
      </c>
      <c r="V13" s="6">
        <f t="shared" si="1"/>
        <v>13</v>
      </c>
    </row>
    <row r="14" spans="1:23" ht="12.95" customHeight="1" x14ac:dyDescent="0.2">
      <c r="A14" s="6">
        <v>8</v>
      </c>
      <c r="B14" s="7" t="s">
        <v>29</v>
      </c>
      <c r="C14" s="79" t="s">
        <v>99</v>
      </c>
      <c r="D14" s="79"/>
      <c r="E14" s="79"/>
      <c r="F14" s="79" t="s">
        <v>99</v>
      </c>
      <c r="G14" s="79" t="s">
        <v>99</v>
      </c>
      <c r="H14" s="79" t="s">
        <v>99</v>
      </c>
      <c r="I14" s="79" t="s">
        <v>99</v>
      </c>
      <c r="J14" s="79" t="s">
        <v>99</v>
      </c>
      <c r="K14" s="79"/>
      <c r="L14" s="79"/>
      <c r="M14" s="79"/>
      <c r="N14" s="79" t="s">
        <v>99</v>
      </c>
      <c r="O14" s="79"/>
      <c r="P14" s="33" t="s">
        <v>99</v>
      </c>
      <c r="Q14" s="79"/>
      <c r="R14" s="79" t="s">
        <v>99</v>
      </c>
      <c r="S14" s="79"/>
      <c r="T14" s="79" t="s">
        <v>99</v>
      </c>
      <c r="U14" s="79" t="s">
        <v>99</v>
      </c>
      <c r="V14" s="6">
        <f t="shared" si="1"/>
        <v>11</v>
      </c>
    </row>
    <row r="15" spans="1:23" ht="12.95" customHeight="1" x14ac:dyDescent="0.2">
      <c r="A15" s="6">
        <v>9</v>
      </c>
      <c r="B15" s="7" t="s">
        <v>27</v>
      </c>
      <c r="C15" s="79" t="s">
        <v>99</v>
      </c>
      <c r="D15" s="79"/>
      <c r="E15" s="79" t="s">
        <v>99</v>
      </c>
      <c r="F15" s="79" t="s">
        <v>99</v>
      </c>
      <c r="G15" s="79" t="s">
        <v>99</v>
      </c>
      <c r="H15" s="79" t="s">
        <v>99</v>
      </c>
      <c r="I15" s="79" t="s">
        <v>99</v>
      </c>
      <c r="J15" s="79" t="s">
        <v>99</v>
      </c>
      <c r="K15" s="79" t="s">
        <v>99</v>
      </c>
      <c r="L15" s="79"/>
      <c r="M15" s="79"/>
      <c r="N15" s="79" t="s">
        <v>99</v>
      </c>
      <c r="O15" s="79" t="s">
        <v>99</v>
      </c>
      <c r="P15" s="33" t="s">
        <v>99</v>
      </c>
      <c r="Q15" s="79"/>
      <c r="R15" s="79" t="s">
        <v>99</v>
      </c>
      <c r="S15" s="79" t="s">
        <v>99</v>
      </c>
      <c r="T15" s="79" t="s">
        <v>99</v>
      </c>
      <c r="U15" s="79" t="s">
        <v>99</v>
      </c>
      <c r="V15" s="6">
        <f t="shared" si="1"/>
        <v>15</v>
      </c>
    </row>
    <row r="16" spans="1:23" x14ac:dyDescent="0.2">
      <c r="A16" s="6">
        <v>10</v>
      </c>
      <c r="B16" s="7" t="s">
        <v>16</v>
      </c>
      <c r="C16" s="79" t="s">
        <v>99</v>
      </c>
      <c r="D16" s="79"/>
      <c r="E16" s="79"/>
      <c r="F16" s="79" t="s">
        <v>99</v>
      </c>
      <c r="G16" s="79"/>
      <c r="H16" s="79"/>
      <c r="I16" s="79" t="s">
        <v>99</v>
      </c>
      <c r="J16" s="79" t="s">
        <v>99</v>
      </c>
      <c r="K16" s="79" t="s">
        <v>99</v>
      </c>
      <c r="L16" s="79"/>
      <c r="M16" s="79"/>
      <c r="N16" s="79" t="s">
        <v>99</v>
      </c>
      <c r="O16" s="79" t="s">
        <v>99</v>
      </c>
      <c r="P16" s="33" t="s">
        <v>99</v>
      </c>
      <c r="Q16" s="79" t="s">
        <v>99</v>
      </c>
      <c r="R16" s="79" t="s">
        <v>99</v>
      </c>
      <c r="S16" s="79" t="s">
        <v>99</v>
      </c>
      <c r="T16" s="79" t="s">
        <v>99</v>
      </c>
      <c r="U16" s="79" t="s">
        <v>99</v>
      </c>
      <c r="V16" s="6">
        <f t="shared" si="1"/>
        <v>13</v>
      </c>
    </row>
    <row r="17" spans="1:23" x14ac:dyDescent="0.2">
      <c r="A17" s="6">
        <v>11</v>
      </c>
      <c r="B17" s="7" t="s">
        <v>26</v>
      </c>
      <c r="C17" s="79" t="s">
        <v>99</v>
      </c>
      <c r="D17" s="79" t="s">
        <v>99</v>
      </c>
      <c r="E17" s="79"/>
      <c r="F17" s="79" t="s">
        <v>99</v>
      </c>
      <c r="G17" s="79"/>
      <c r="H17" s="79" t="s">
        <v>99</v>
      </c>
      <c r="I17" s="79" t="s">
        <v>99</v>
      </c>
      <c r="J17" s="79" t="s">
        <v>99</v>
      </c>
      <c r="K17" s="79" t="s">
        <v>99</v>
      </c>
      <c r="L17" s="79"/>
      <c r="M17" s="79"/>
      <c r="N17" s="79" t="s">
        <v>99</v>
      </c>
      <c r="O17" s="79" t="s">
        <v>99</v>
      </c>
      <c r="P17" s="33" t="s">
        <v>99</v>
      </c>
      <c r="Q17" s="79" t="s">
        <v>99</v>
      </c>
      <c r="R17" s="79" t="s">
        <v>99</v>
      </c>
      <c r="S17" s="79" t="s">
        <v>99</v>
      </c>
      <c r="T17" s="79" t="s">
        <v>99</v>
      </c>
      <c r="U17" s="79" t="s">
        <v>99</v>
      </c>
      <c r="V17" s="6">
        <f t="shared" si="1"/>
        <v>15</v>
      </c>
    </row>
    <row r="18" spans="1:23" x14ac:dyDescent="0.2">
      <c r="A18" s="6">
        <v>12</v>
      </c>
      <c r="B18" s="7" t="s">
        <v>25</v>
      </c>
      <c r="C18" s="79" t="s">
        <v>99</v>
      </c>
      <c r="D18" s="79"/>
      <c r="E18" s="79"/>
      <c r="F18" s="79" t="s">
        <v>99</v>
      </c>
      <c r="G18" s="79"/>
      <c r="H18" s="79" t="s">
        <v>99</v>
      </c>
      <c r="I18" s="79" t="s">
        <v>99</v>
      </c>
      <c r="J18" s="79" t="s">
        <v>99</v>
      </c>
      <c r="K18" s="79" t="s">
        <v>99</v>
      </c>
      <c r="L18" s="79"/>
      <c r="M18" s="79"/>
      <c r="N18" s="79" t="s">
        <v>99</v>
      </c>
      <c r="O18" s="79" t="s">
        <v>99</v>
      </c>
      <c r="P18" s="33"/>
      <c r="Q18" s="79" t="s">
        <v>99</v>
      </c>
      <c r="R18" s="79" t="s">
        <v>99</v>
      </c>
      <c r="S18" s="79" t="s">
        <v>99</v>
      </c>
      <c r="T18" s="79" t="s">
        <v>99</v>
      </c>
      <c r="U18" s="79" t="s">
        <v>99</v>
      </c>
      <c r="V18" s="6">
        <f t="shared" si="1"/>
        <v>13</v>
      </c>
    </row>
    <row r="19" spans="1:23" x14ac:dyDescent="0.2">
      <c r="A19" s="6">
        <v>13</v>
      </c>
      <c r="B19" s="7" t="s">
        <v>22</v>
      </c>
      <c r="C19" s="79" t="s">
        <v>99</v>
      </c>
      <c r="D19" s="79"/>
      <c r="E19" s="79" t="s">
        <v>99</v>
      </c>
      <c r="F19" s="79" t="s">
        <v>99</v>
      </c>
      <c r="G19" s="79" t="s">
        <v>99</v>
      </c>
      <c r="H19" s="79" t="s">
        <v>99</v>
      </c>
      <c r="I19" s="79" t="s">
        <v>99</v>
      </c>
      <c r="J19" s="79" t="s">
        <v>99</v>
      </c>
      <c r="K19" s="79" t="s">
        <v>99</v>
      </c>
      <c r="L19" s="79"/>
      <c r="M19" s="79" t="s">
        <v>99</v>
      </c>
      <c r="N19" s="79" t="s">
        <v>99</v>
      </c>
      <c r="O19" s="79" t="s">
        <v>99</v>
      </c>
      <c r="P19" s="33" t="s">
        <v>99</v>
      </c>
      <c r="Q19" s="79" t="s">
        <v>99</v>
      </c>
      <c r="R19" s="79" t="s">
        <v>99</v>
      </c>
      <c r="S19" s="79" t="s">
        <v>99</v>
      </c>
      <c r="T19" s="79" t="s">
        <v>99</v>
      </c>
      <c r="U19" s="79" t="s">
        <v>99</v>
      </c>
      <c r="V19" s="6">
        <f t="shared" si="1"/>
        <v>17</v>
      </c>
    </row>
    <row r="20" spans="1:23" x14ac:dyDescent="0.2">
      <c r="A20" s="6">
        <v>14</v>
      </c>
      <c r="B20" s="10" t="s">
        <v>20</v>
      </c>
      <c r="C20" s="79" t="s">
        <v>99</v>
      </c>
      <c r="D20" s="79"/>
      <c r="E20" s="79"/>
      <c r="F20" s="79" t="s">
        <v>99</v>
      </c>
      <c r="G20" s="79" t="s">
        <v>99</v>
      </c>
      <c r="H20" s="79" t="s">
        <v>99</v>
      </c>
      <c r="I20" s="79" t="s">
        <v>99</v>
      </c>
      <c r="J20" s="79" t="s">
        <v>99</v>
      </c>
      <c r="K20" s="79" t="s">
        <v>99</v>
      </c>
      <c r="L20" s="79"/>
      <c r="M20" s="79"/>
      <c r="N20" s="79"/>
      <c r="O20" s="79" t="s">
        <v>99</v>
      </c>
      <c r="P20" s="33" t="s">
        <v>99</v>
      </c>
      <c r="Q20" s="79"/>
      <c r="R20" s="79" t="s">
        <v>99</v>
      </c>
      <c r="S20" s="79"/>
      <c r="T20" s="79" t="s">
        <v>99</v>
      </c>
      <c r="U20" s="79" t="s">
        <v>99</v>
      </c>
      <c r="V20" s="6">
        <f t="shared" si="1"/>
        <v>12</v>
      </c>
      <c r="W20" s="11"/>
    </row>
    <row r="21" spans="1:23" s="11" customFormat="1" x14ac:dyDescent="0.2">
      <c r="A21" s="6">
        <v>15</v>
      </c>
      <c r="B21" s="7" t="s">
        <v>21</v>
      </c>
      <c r="C21" s="79" t="s">
        <v>99</v>
      </c>
      <c r="D21" s="79"/>
      <c r="E21" s="79" t="s">
        <v>99</v>
      </c>
      <c r="F21" s="79" t="s">
        <v>99</v>
      </c>
      <c r="G21" s="79" t="s">
        <v>99</v>
      </c>
      <c r="H21" s="79" t="s">
        <v>99</v>
      </c>
      <c r="I21" s="79" t="s">
        <v>99</v>
      </c>
      <c r="J21" s="79" t="s">
        <v>99</v>
      </c>
      <c r="K21" s="79" t="s">
        <v>99</v>
      </c>
      <c r="L21" s="79"/>
      <c r="M21" s="79"/>
      <c r="N21" s="79" t="s">
        <v>99</v>
      </c>
      <c r="O21" s="79" t="s">
        <v>99</v>
      </c>
      <c r="P21" s="33" t="s">
        <v>99</v>
      </c>
      <c r="Q21" s="79" t="s">
        <v>99</v>
      </c>
      <c r="R21" s="79" t="s">
        <v>99</v>
      </c>
      <c r="S21" s="79" t="s">
        <v>99</v>
      </c>
      <c r="T21" s="79" t="s">
        <v>99</v>
      </c>
      <c r="U21" s="79" t="s">
        <v>99</v>
      </c>
      <c r="V21" s="6">
        <f t="shared" si="1"/>
        <v>16</v>
      </c>
      <c r="W21" s="1"/>
    </row>
    <row r="22" spans="1:23" x14ac:dyDescent="0.2">
      <c r="A22" s="6">
        <v>16</v>
      </c>
      <c r="B22" s="7" t="s">
        <v>14</v>
      </c>
      <c r="C22" s="79" t="s">
        <v>99</v>
      </c>
      <c r="D22" s="79"/>
      <c r="E22" s="79"/>
      <c r="F22" s="79" t="s">
        <v>99</v>
      </c>
      <c r="G22" s="79"/>
      <c r="H22" s="79" t="s">
        <v>99</v>
      </c>
      <c r="I22" s="79" t="s">
        <v>99</v>
      </c>
      <c r="J22" s="79" t="s">
        <v>99</v>
      </c>
      <c r="K22" s="79" t="s">
        <v>99</v>
      </c>
      <c r="L22" s="79"/>
      <c r="M22" s="79"/>
      <c r="N22" s="79"/>
      <c r="O22" s="79" t="s">
        <v>99</v>
      </c>
      <c r="P22" s="33" t="s">
        <v>99</v>
      </c>
      <c r="Q22" s="79"/>
      <c r="R22" s="79" t="s">
        <v>99</v>
      </c>
      <c r="S22" s="79" t="s">
        <v>99</v>
      </c>
      <c r="T22" s="79" t="s">
        <v>99</v>
      </c>
      <c r="U22" s="79" t="s">
        <v>99</v>
      </c>
      <c r="V22" s="6">
        <f t="shared" si="1"/>
        <v>12</v>
      </c>
    </row>
    <row r="23" spans="1:23" s="11" customFormat="1" x14ac:dyDescent="0.2">
      <c r="A23" s="6">
        <v>17</v>
      </c>
      <c r="B23" s="7" t="s">
        <v>15</v>
      </c>
      <c r="C23" s="79" t="s">
        <v>99</v>
      </c>
      <c r="D23" s="79" t="s">
        <v>99</v>
      </c>
      <c r="E23" s="79" t="s">
        <v>99</v>
      </c>
      <c r="F23" s="79" t="s">
        <v>99</v>
      </c>
      <c r="G23" s="79" t="s">
        <v>99</v>
      </c>
      <c r="H23" s="79" t="s">
        <v>99</v>
      </c>
      <c r="I23" s="79" t="s">
        <v>99</v>
      </c>
      <c r="J23" s="79" t="s">
        <v>99</v>
      </c>
      <c r="K23" s="79" t="s">
        <v>99</v>
      </c>
      <c r="L23" s="79"/>
      <c r="M23" s="79"/>
      <c r="N23" s="79"/>
      <c r="O23" s="79" t="s">
        <v>99</v>
      </c>
      <c r="P23" s="33"/>
      <c r="Q23" s="79"/>
      <c r="R23" s="79" t="s">
        <v>99</v>
      </c>
      <c r="S23" s="79" t="s">
        <v>99</v>
      </c>
      <c r="T23" s="79" t="s">
        <v>99</v>
      </c>
      <c r="U23" s="79" t="s">
        <v>99</v>
      </c>
      <c r="V23" s="6">
        <f t="shared" si="1"/>
        <v>14</v>
      </c>
      <c r="W23" s="1"/>
    </row>
    <row r="24" spans="1:23" x14ac:dyDescent="0.2">
      <c r="A24" s="6">
        <v>18</v>
      </c>
      <c r="B24" s="10" t="s">
        <v>18</v>
      </c>
      <c r="C24" s="79"/>
      <c r="D24" s="79"/>
      <c r="E24" s="79"/>
      <c r="F24" s="79" t="s">
        <v>99</v>
      </c>
      <c r="G24" s="79" t="s">
        <v>99</v>
      </c>
      <c r="H24" s="79" t="s">
        <v>99</v>
      </c>
      <c r="I24" s="79" t="s">
        <v>99</v>
      </c>
      <c r="J24" s="79" t="s">
        <v>99</v>
      </c>
      <c r="K24" s="79" t="s">
        <v>99</v>
      </c>
      <c r="L24" s="79"/>
      <c r="M24" s="79"/>
      <c r="N24" s="79" t="s">
        <v>99</v>
      </c>
      <c r="O24" s="79"/>
      <c r="P24" s="33" t="s">
        <v>99</v>
      </c>
      <c r="Q24" s="79"/>
      <c r="R24" s="79" t="s">
        <v>99</v>
      </c>
      <c r="S24" s="79"/>
      <c r="T24" s="79" t="s">
        <v>99</v>
      </c>
      <c r="U24" s="79" t="s">
        <v>99</v>
      </c>
      <c r="V24" s="6">
        <f t="shared" si="1"/>
        <v>11</v>
      </c>
      <c r="W24" s="11"/>
    </row>
    <row r="25" spans="1:23" x14ac:dyDescent="0.2">
      <c r="A25" s="6">
        <v>19</v>
      </c>
      <c r="B25" s="7" t="s">
        <v>24</v>
      </c>
      <c r="C25" s="79" t="s">
        <v>99</v>
      </c>
      <c r="D25" s="79"/>
      <c r="E25" s="79" t="s">
        <v>99</v>
      </c>
      <c r="F25" s="79" t="s">
        <v>99</v>
      </c>
      <c r="G25" s="79" t="s">
        <v>99</v>
      </c>
      <c r="H25" s="79" t="s">
        <v>99</v>
      </c>
      <c r="I25" s="79" t="s">
        <v>99</v>
      </c>
      <c r="J25" s="79" t="s">
        <v>99</v>
      </c>
      <c r="K25" s="79" t="s">
        <v>99</v>
      </c>
      <c r="L25" s="79"/>
      <c r="M25" s="79" t="s">
        <v>99</v>
      </c>
      <c r="N25" s="79" t="s">
        <v>99</v>
      </c>
      <c r="O25" s="79"/>
      <c r="P25" s="33" t="s">
        <v>99</v>
      </c>
      <c r="Q25" s="79" t="s">
        <v>99</v>
      </c>
      <c r="R25" s="79" t="s">
        <v>99</v>
      </c>
      <c r="S25" s="79" t="s">
        <v>99</v>
      </c>
      <c r="T25" s="79" t="s">
        <v>99</v>
      </c>
      <c r="U25" s="79" t="s">
        <v>99</v>
      </c>
      <c r="V25" s="6">
        <f t="shared" si="1"/>
        <v>16</v>
      </c>
    </row>
    <row r="26" spans="1:23" ht="12.95" customHeight="1" x14ac:dyDescent="0.2">
      <c r="A26" s="6">
        <v>20</v>
      </c>
      <c r="B26" s="7" t="s">
        <v>23</v>
      </c>
      <c r="C26" s="79" t="s">
        <v>99</v>
      </c>
      <c r="D26" s="79"/>
      <c r="E26" s="79" t="s">
        <v>99</v>
      </c>
      <c r="F26" s="79" t="s">
        <v>99</v>
      </c>
      <c r="G26" s="79" t="s">
        <v>99</v>
      </c>
      <c r="H26" s="79" t="s">
        <v>99</v>
      </c>
      <c r="I26" s="79" t="s">
        <v>99</v>
      </c>
      <c r="J26" s="79" t="s">
        <v>99</v>
      </c>
      <c r="K26" s="79" t="s">
        <v>99</v>
      </c>
      <c r="L26" s="79"/>
      <c r="M26" s="79" t="s">
        <v>99</v>
      </c>
      <c r="N26" s="79" t="s">
        <v>99</v>
      </c>
      <c r="O26" s="79" t="s">
        <v>99</v>
      </c>
      <c r="P26" s="33" t="s">
        <v>99</v>
      </c>
      <c r="Q26" s="79" t="s">
        <v>99</v>
      </c>
      <c r="R26" s="79" t="s">
        <v>99</v>
      </c>
      <c r="S26" s="79"/>
      <c r="T26" s="79" t="s">
        <v>99</v>
      </c>
      <c r="U26" s="79" t="s">
        <v>99</v>
      </c>
      <c r="V26" s="6">
        <f>COUNTIF(C26:U26,"x")</f>
        <v>16</v>
      </c>
    </row>
    <row r="27" spans="1:23" s="5" customFormat="1" ht="12.95" customHeight="1" x14ac:dyDescent="0.2">
      <c r="A27" s="261" t="s">
        <v>34</v>
      </c>
      <c r="B27" s="262"/>
      <c r="C27" s="29">
        <f>COUNTIF(C28:C37, "x")</f>
        <v>8</v>
      </c>
      <c r="D27" s="29">
        <f t="shared" ref="D27:U27" si="2">COUNTIF(D28:D37, "x")</f>
        <v>0</v>
      </c>
      <c r="E27" s="29">
        <f t="shared" si="2"/>
        <v>3</v>
      </c>
      <c r="F27" s="29">
        <f t="shared" si="2"/>
        <v>10</v>
      </c>
      <c r="G27" s="29">
        <f t="shared" si="2"/>
        <v>3</v>
      </c>
      <c r="H27" s="29">
        <f t="shared" si="2"/>
        <v>8</v>
      </c>
      <c r="I27" s="29">
        <f t="shared" si="2"/>
        <v>10</v>
      </c>
      <c r="J27" s="29">
        <f t="shared" si="2"/>
        <v>10</v>
      </c>
      <c r="K27" s="29">
        <f t="shared" si="2"/>
        <v>8</v>
      </c>
      <c r="L27" s="29">
        <f t="shared" si="2"/>
        <v>1</v>
      </c>
      <c r="M27" s="29">
        <f t="shared" si="2"/>
        <v>8</v>
      </c>
      <c r="N27" s="29">
        <f t="shared" si="2"/>
        <v>8</v>
      </c>
      <c r="O27" s="29">
        <f t="shared" si="2"/>
        <v>5</v>
      </c>
      <c r="P27" s="29">
        <f t="shared" si="2"/>
        <v>3</v>
      </c>
      <c r="Q27" s="29">
        <f t="shared" si="2"/>
        <v>3</v>
      </c>
      <c r="R27" s="29">
        <f t="shared" si="2"/>
        <v>10</v>
      </c>
      <c r="S27" s="29">
        <f t="shared" si="2"/>
        <v>5</v>
      </c>
      <c r="T27" s="29">
        <f t="shared" si="2"/>
        <v>9</v>
      </c>
      <c r="U27" s="29">
        <f t="shared" si="2"/>
        <v>10</v>
      </c>
      <c r="V27" s="32">
        <f>SUM(V28:V37)/10</f>
        <v>12.2</v>
      </c>
    </row>
    <row r="28" spans="1:23" ht="12.95" customHeight="1" x14ac:dyDescent="0.2">
      <c r="A28" s="6">
        <v>1</v>
      </c>
      <c r="B28" s="7" t="s">
        <v>41</v>
      </c>
      <c r="C28" s="79" t="s">
        <v>99</v>
      </c>
      <c r="D28" s="79"/>
      <c r="E28" s="79"/>
      <c r="F28" s="79" t="s">
        <v>99</v>
      </c>
      <c r="G28" s="79"/>
      <c r="H28" s="79"/>
      <c r="I28" s="79" t="s">
        <v>99</v>
      </c>
      <c r="J28" s="79" t="s">
        <v>99</v>
      </c>
      <c r="K28" s="79" t="s">
        <v>99</v>
      </c>
      <c r="L28" s="79" t="s">
        <v>99</v>
      </c>
      <c r="M28" s="79" t="s">
        <v>99</v>
      </c>
      <c r="N28" s="79" t="s">
        <v>99</v>
      </c>
      <c r="O28" s="79" t="s">
        <v>99</v>
      </c>
      <c r="P28" s="33" t="s">
        <v>99</v>
      </c>
      <c r="Q28" s="79"/>
      <c r="R28" s="79" t="s">
        <v>99</v>
      </c>
      <c r="S28" s="79" t="s">
        <v>99</v>
      </c>
      <c r="T28" s="79" t="s">
        <v>99</v>
      </c>
      <c r="U28" s="79" t="s">
        <v>99</v>
      </c>
      <c r="V28" s="6">
        <f t="shared" ref="V28:V37" si="3">COUNTIF(C28:U28,"x")</f>
        <v>14</v>
      </c>
    </row>
    <row r="29" spans="1:23" ht="12.95" customHeight="1" x14ac:dyDescent="0.2">
      <c r="A29" s="9">
        <v>2</v>
      </c>
      <c r="B29" s="10" t="s">
        <v>39</v>
      </c>
      <c r="C29" s="79" t="s">
        <v>99</v>
      </c>
      <c r="D29" s="79"/>
      <c r="E29" s="79"/>
      <c r="F29" s="79" t="s">
        <v>99</v>
      </c>
      <c r="G29" s="79"/>
      <c r="H29" s="79" t="s">
        <v>99</v>
      </c>
      <c r="I29" s="79" t="s">
        <v>99</v>
      </c>
      <c r="J29" s="79" t="s">
        <v>99</v>
      </c>
      <c r="K29" s="79" t="s">
        <v>99</v>
      </c>
      <c r="L29" s="79"/>
      <c r="M29" s="79" t="s">
        <v>99</v>
      </c>
      <c r="N29" s="79" t="s">
        <v>99</v>
      </c>
      <c r="O29" s="79" t="s">
        <v>99</v>
      </c>
      <c r="P29" s="33"/>
      <c r="Q29" s="79"/>
      <c r="R29" s="79" t="s">
        <v>99</v>
      </c>
      <c r="S29" s="79" t="s">
        <v>99</v>
      </c>
      <c r="T29" s="79" t="s">
        <v>99</v>
      </c>
      <c r="U29" s="79" t="s">
        <v>99</v>
      </c>
      <c r="V29" s="6">
        <f t="shared" si="3"/>
        <v>13</v>
      </c>
      <c r="W29" s="11"/>
    </row>
    <row r="30" spans="1:23" s="11" customFormat="1" ht="12.95" customHeight="1" x14ac:dyDescent="0.2">
      <c r="A30" s="6">
        <v>3</v>
      </c>
      <c r="B30" s="7" t="s">
        <v>36</v>
      </c>
      <c r="C30" s="79" t="s">
        <v>99</v>
      </c>
      <c r="D30" s="79"/>
      <c r="E30" s="79"/>
      <c r="F30" s="79" t="s">
        <v>99</v>
      </c>
      <c r="G30" s="79" t="s">
        <v>99</v>
      </c>
      <c r="H30" s="79" t="s">
        <v>99</v>
      </c>
      <c r="I30" s="79" t="s">
        <v>99</v>
      </c>
      <c r="J30" s="79" t="s">
        <v>99</v>
      </c>
      <c r="K30" s="79" t="s">
        <v>99</v>
      </c>
      <c r="L30" s="79"/>
      <c r="M30" s="79"/>
      <c r="N30" s="79" t="s">
        <v>99</v>
      </c>
      <c r="O30" s="79"/>
      <c r="P30" s="33"/>
      <c r="Q30" s="79"/>
      <c r="R30" s="79" t="s">
        <v>99</v>
      </c>
      <c r="S30" s="79" t="s">
        <v>99</v>
      </c>
      <c r="T30" s="79" t="s">
        <v>99</v>
      </c>
      <c r="U30" s="79" t="s">
        <v>99</v>
      </c>
      <c r="V30" s="6">
        <f t="shared" si="3"/>
        <v>12</v>
      </c>
      <c r="W30" s="1"/>
    </row>
    <row r="31" spans="1:23" s="11" customFormat="1" ht="12.95" customHeight="1" x14ac:dyDescent="0.2">
      <c r="A31" s="9">
        <v>4</v>
      </c>
      <c r="B31" s="7" t="s">
        <v>40</v>
      </c>
      <c r="C31" s="79" t="s">
        <v>99</v>
      </c>
      <c r="D31" s="79"/>
      <c r="E31" s="79"/>
      <c r="F31" s="79" t="s">
        <v>99</v>
      </c>
      <c r="G31" s="79"/>
      <c r="H31" s="79" t="s">
        <v>99</v>
      </c>
      <c r="I31" s="79" t="s">
        <v>99</v>
      </c>
      <c r="J31" s="79" t="s">
        <v>99</v>
      </c>
      <c r="K31" s="79" t="s">
        <v>99</v>
      </c>
      <c r="L31" s="79"/>
      <c r="M31" s="79" t="s">
        <v>99</v>
      </c>
      <c r="N31" s="79" t="s">
        <v>99</v>
      </c>
      <c r="O31" s="79"/>
      <c r="P31" s="33"/>
      <c r="Q31" s="79" t="s">
        <v>99</v>
      </c>
      <c r="R31" s="79" t="s">
        <v>99</v>
      </c>
      <c r="S31" s="79" t="s">
        <v>99</v>
      </c>
      <c r="T31" s="79" t="s">
        <v>99</v>
      </c>
      <c r="U31" s="79" t="s">
        <v>99</v>
      </c>
      <c r="V31" s="6">
        <f t="shared" si="3"/>
        <v>13</v>
      </c>
      <c r="W31" s="1"/>
    </row>
    <row r="32" spans="1:23" s="11" customFormat="1" ht="12.95" customHeight="1" x14ac:dyDescent="0.2">
      <c r="A32" s="6">
        <v>5</v>
      </c>
      <c r="B32" s="7" t="s">
        <v>42</v>
      </c>
      <c r="C32" s="79" t="s">
        <v>99</v>
      </c>
      <c r="D32" s="79"/>
      <c r="E32" s="79"/>
      <c r="F32" s="79" t="s">
        <v>99</v>
      </c>
      <c r="G32" s="79" t="s">
        <v>99</v>
      </c>
      <c r="H32" s="79" t="s">
        <v>99</v>
      </c>
      <c r="I32" s="79" t="s">
        <v>99</v>
      </c>
      <c r="J32" s="79" t="s">
        <v>99</v>
      </c>
      <c r="K32" s="79"/>
      <c r="L32" s="79"/>
      <c r="M32" s="79"/>
      <c r="N32" s="79"/>
      <c r="O32" s="79" t="s">
        <v>99</v>
      </c>
      <c r="P32" s="33"/>
      <c r="Q32" s="79"/>
      <c r="R32" s="79" t="s">
        <v>99</v>
      </c>
      <c r="S32" s="79"/>
      <c r="T32" s="79" t="s">
        <v>99</v>
      </c>
      <c r="U32" s="79" t="s">
        <v>99</v>
      </c>
      <c r="V32" s="6">
        <f t="shared" si="3"/>
        <v>10</v>
      </c>
      <c r="W32" s="1"/>
    </row>
    <row r="33" spans="1:23" ht="12.95" customHeight="1" x14ac:dyDescent="0.2">
      <c r="A33" s="9">
        <v>6</v>
      </c>
      <c r="B33" s="7" t="s">
        <v>43</v>
      </c>
      <c r="C33" s="79"/>
      <c r="D33" s="79"/>
      <c r="E33" s="79" t="s">
        <v>99</v>
      </c>
      <c r="F33" s="79" t="s">
        <v>99</v>
      </c>
      <c r="G33" s="79"/>
      <c r="H33" s="79" t="s">
        <v>99</v>
      </c>
      <c r="I33" s="79" t="s">
        <v>99</v>
      </c>
      <c r="J33" s="79" t="s">
        <v>99</v>
      </c>
      <c r="K33" s="79" t="s">
        <v>99</v>
      </c>
      <c r="L33" s="79"/>
      <c r="M33" s="79" t="s">
        <v>99</v>
      </c>
      <c r="N33" s="79" t="s">
        <v>99</v>
      </c>
      <c r="O33" s="79" t="s">
        <v>99</v>
      </c>
      <c r="P33" s="33" t="s">
        <v>99</v>
      </c>
      <c r="Q33" s="79" t="s">
        <v>99</v>
      </c>
      <c r="R33" s="79" t="s">
        <v>99</v>
      </c>
      <c r="S33" s="79"/>
      <c r="T33" s="79" t="s">
        <v>99</v>
      </c>
      <c r="U33" s="79" t="s">
        <v>99</v>
      </c>
      <c r="V33" s="6">
        <f t="shared" si="3"/>
        <v>14</v>
      </c>
    </row>
    <row r="34" spans="1:23" ht="12.95" customHeight="1" x14ac:dyDescent="0.2">
      <c r="A34" s="6">
        <v>7</v>
      </c>
      <c r="B34" s="10" t="s">
        <v>37</v>
      </c>
      <c r="C34" s="79"/>
      <c r="D34" s="79"/>
      <c r="E34" s="79"/>
      <c r="F34" s="79" t="s">
        <v>99</v>
      </c>
      <c r="G34" s="79"/>
      <c r="H34" s="79"/>
      <c r="I34" s="79" t="s">
        <v>99</v>
      </c>
      <c r="J34" s="79" t="s">
        <v>99</v>
      </c>
      <c r="K34" s="79"/>
      <c r="L34" s="79"/>
      <c r="M34" s="79" t="s">
        <v>99</v>
      </c>
      <c r="N34" s="79" t="s">
        <v>99</v>
      </c>
      <c r="O34" s="79"/>
      <c r="P34" s="33" t="s">
        <v>99</v>
      </c>
      <c r="Q34" s="79"/>
      <c r="R34" s="79" t="s">
        <v>99</v>
      </c>
      <c r="S34" s="79"/>
      <c r="T34" s="79" t="s">
        <v>99</v>
      </c>
      <c r="U34" s="79" t="s">
        <v>99</v>
      </c>
      <c r="V34" s="6">
        <f t="shared" si="3"/>
        <v>9</v>
      </c>
      <c r="W34" s="11"/>
    </row>
    <row r="35" spans="1:23" ht="12.95" customHeight="1" x14ac:dyDescent="0.2">
      <c r="A35" s="9">
        <v>8</v>
      </c>
      <c r="B35" s="7" t="s">
        <v>44</v>
      </c>
      <c r="C35" s="79" t="s">
        <v>99</v>
      </c>
      <c r="D35" s="79"/>
      <c r="E35" s="79" t="s">
        <v>99</v>
      </c>
      <c r="F35" s="79" t="s">
        <v>99</v>
      </c>
      <c r="G35" s="79" t="s">
        <v>99</v>
      </c>
      <c r="H35" s="79" t="s">
        <v>99</v>
      </c>
      <c r="I35" s="79" t="s">
        <v>99</v>
      </c>
      <c r="J35" s="79" t="s">
        <v>99</v>
      </c>
      <c r="K35" s="79" t="s">
        <v>99</v>
      </c>
      <c r="L35" s="79"/>
      <c r="M35" s="79" t="s">
        <v>99</v>
      </c>
      <c r="N35" s="79"/>
      <c r="O35" s="79"/>
      <c r="P35" s="33"/>
      <c r="Q35" s="79"/>
      <c r="R35" s="79" t="s">
        <v>99</v>
      </c>
      <c r="S35" s="79"/>
      <c r="T35" s="79"/>
      <c r="U35" s="79" t="s">
        <v>99</v>
      </c>
      <c r="V35" s="6">
        <f t="shared" si="3"/>
        <v>11</v>
      </c>
    </row>
    <row r="36" spans="1:23" ht="12.95" customHeight="1" x14ac:dyDescent="0.2">
      <c r="A36" s="6">
        <v>9</v>
      </c>
      <c r="B36" s="10" t="s">
        <v>38</v>
      </c>
      <c r="C36" s="79" t="s">
        <v>99</v>
      </c>
      <c r="D36" s="79"/>
      <c r="E36" s="79"/>
      <c r="F36" s="79" t="s">
        <v>99</v>
      </c>
      <c r="G36" s="79"/>
      <c r="H36" s="79" t="s">
        <v>99</v>
      </c>
      <c r="I36" s="79" t="s">
        <v>99</v>
      </c>
      <c r="J36" s="79" t="s">
        <v>99</v>
      </c>
      <c r="K36" s="79" t="s">
        <v>99</v>
      </c>
      <c r="L36" s="79"/>
      <c r="M36" s="79" t="s">
        <v>99</v>
      </c>
      <c r="N36" s="79" t="s">
        <v>99</v>
      </c>
      <c r="O36" s="79"/>
      <c r="P36" s="33"/>
      <c r="Q36" s="79" t="s">
        <v>99</v>
      </c>
      <c r="R36" s="79" t="s">
        <v>99</v>
      </c>
      <c r="S36" s="79" t="s">
        <v>99</v>
      </c>
      <c r="T36" s="79" t="s">
        <v>99</v>
      </c>
      <c r="U36" s="79" t="s">
        <v>99</v>
      </c>
      <c r="V36" s="6">
        <f t="shared" si="3"/>
        <v>13</v>
      </c>
      <c r="W36" s="11"/>
    </row>
    <row r="37" spans="1:23" ht="12.95" customHeight="1" x14ac:dyDescent="0.2">
      <c r="A37" s="9">
        <v>10</v>
      </c>
      <c r="B37" s="7" t="s">
        <v>35</v>
      </c>
      <c r="C37" s="79" t="s">
        <v>99</v>
      </c>
      <c r="D37" s="79"/>
      <c r="E37" s="79" t="s">
        <v>99</v>
      </c>
      <c r="F37" s="79" t="s">
        <v>99</v>
      </c>
      <c r="G37" s="79"/>
      <c r="H37" s="79" t="s">
        <v>99</v>
      </c>
      <c r="I37" s="79" t="s">
        <v>99</v>
      </c>
      <c r="J37" s="79" t="s">
        <v>99</v>
      </c>
      <c r="K37" s="79" t="s">
        <v>99</v>
      </c>
      <c r="L37" s="79"/>
      <c r="M37" s="79" t="s">
        <v>99</v>
      </c>
      <c r="N37" s="79" t="s">
        <v>99</v>
      </c>
      <c r="O37" s="79" t="s">
        <v>99</v>
      </c>
      <c r="P37" s="33"/>
      <c r="Q37" s="79"/>
      <c r="R37" s="79" t="s">
        <v>99</v>
      </c>
      <c r="S37" s="79"/>
      <c r="T37" s="79" t="s">
        <v>99</v>
      </c>
      <c r="U37" s="79" t="s">
        <v>99</v>
      </c>
      <c r="V37" s="6">
        <f t="shared" si="3"/>
        <v>13</v>
      </c>
    </row>
    <row r="38" spans="1:23" s="5" customFormat="1" ht="12.95" customHeight="1" x14ac:dyDescent="0.2">
      <c r="A38" s="261" t="s">
        <v>45</v>
      </c>
      <c r="B38" s="262"/>
      <c r="C38" s="29">
        <f t="shared" ref="C38:U38" si="4">COUNTIF(C39:C52, "x")</f>
        <v>13</v>
      </c>
      <c r="D38" s="29">
        <f t="shared" si="4"/>
        <v>3</v>
      </c>
      <c r="E38" s="29">
        <f t="shared" si="4"/>
        <v>6</v>
      </c>
      <c r="F38" s="29">
        <f t="shared" si="4"/>
        <v>14</v>
      </c>
      <c r="G38" s="29">
        <f t="shared" si="4"/>
        <v>10</v>
      </c>
      <c r="H38" s="29">
        <f t="shared" si="4"/>
        <v>14</v>
      </c>
      <c r="I38" s="29">
        <f t="shared" si="4"/>
        <v>13</v>
      </c>
      <c r="J38" s="29">
        <f t="shared" si="4"/>
        <v>14</v>
      </c>
      <c r="K38" s="29">
        <f t="shared" si="4"/>
        <v>11</v>
      </c>
      <c r="L38" s="29">
        <f t="shared" si="4"/>
        <v>2</v>
      </c>
      <c r="M38" s="29">
        <f t="shared" si="4"/>
        <v>6</v>
      </c>
      <c r="N38" s="29">
        <f t="shared" si="4"/>
        <v>13</v>
      </c>
      <c r="O38" s="29">
        <f t="shared" si="4"/>
        <v>12</v>
      </c>
      <c r="P38" s="29">
        <f t="shared" si="4"/>
        <v>13</v>
      </c>
      <c r="Q38" s="29">
        <f t="shared" si="4"/>
        <v>10</v>
      </c>
      <c r="R38" s="29">
        <f t="shared" si="4"/>
        <v>14</v>
      </c>
      <c r="S38" s="29">
        <f t="shared" si="4"/>
        <v>11</v>
      </c>
      <c r="T38" s="29">
        <f t="shared" si="4"/>
        <v>14</v>
      </c>
      <c r="U38" s="29">
        <f t="shared" si="4"/>
        <v>14</v>
      </c>
      <c r="V38" s="32">
        <f>SUM(V39:V52)/14</f>
        <v>14.785714285714286</v>
      </c>
    </row>
    <row r="39" spans="1:23" ht="12.95" customHeight="1" x14ac:dyDescent="0.2">
      <c r="A39" s="6">
        <v>1</v>
      </c>
      <c r="B39" s="7" t="s">
        <v>52</v>
      </c>
      <c r="C39" s="79" t="s">
        <v>99</v>
      </c>
      <c r="D39" s="79"/>
      <c r="E39" s="79"/>
      <c r="F39" s="79" t="s">
        <v>99</v>
      </c>
      <c r="G39" s="79" t="s">
        <v>99</v>
      </c>
      <c r="H39" s="79" t="s">
        <v>99</v>
      </c>
      <c r="I39" s="79" t="s">
        <v>99</v>
      </c>
      <c r="J39" s="79" t="s">
        <v>99</v>
      </c>
      <c r="K39" s="79"/>
      <c r="L39" s="79"/>
      <c r="M39" s="79"/>
      <c r="N39" s="79" t="s">
        <v>99</v>
      </c>
      <c r="O39" s="79"/>
      <c r="P39" s="33" t="s">
        <v>99</v>
      </c>
      <c r="Q39" s="79"/>
      <c r="R39" s="79" t="s">
        <v>99</v>
      </c>
      <c r="S39" s="79" t="s">
        <v>99</v>
      </c>
      <c r="T39" s="79" t="s">
        <v>99</v>
      </c>
      <c r="U39" s="79" t="s">
        <v>99</v>
      </c>
      <c r="V39" s="6">
        <f>COUNTIF(C39:U39,"x")</f>
        <v>12</v>
      </c>
    </row>
    <row r="40" spans="1:23" ht="12.75" customHeight="1" x14ac:dyDescent="0.2">
      <c r="A40" s="6">
        <v>2</v>
      </c>
      <c r="B40" s="7" t="s">
        <v>50</v>
      </c>
      <c r="C40" s="79" t="s">
        <v>99</v>
      </c>
      <c r="D40" s="79"/>
      <c r="E40" s="79"/>
      <c r="F40" s="79" t="s">
        <v>99</v>
      </c>
      <c r="G40" s="79"/>
      <c r="H40" s="79" t="s">
        <v>99</v>
      </c>
      <c r="I40" s="79" t="s">
        <v>99</v>
      </c>
      <c r="J40" s="79" t="s">
        <v>99</v>
      </c>
      <c r="K40" s="79" t="s">
        <v>99</v>
      </c>
      <c r="L40" s="79"/>
      <c r="M40" s="79"/>
      <c r="N40" s="79" t="s">
        <v>99</v>
      </c>
      <c r="O40" s="79" t="s">
        <v>99</v>
      </c>
      <c r="P40" s="33" t="s">
        <v>99</v>
      </c>
      <c r="Q40" s="79" t="s">
        <v>99</v>
      </c>
      <c r="R40" s="79" t="s">
        <v>99</v>
      </c>
      <c r="S40" s="79" t="s">
        <v>99</v>
      </c>
      <c r="T40" s="79" t="s">
        <v>99</v>
      </c>
      <c r="U40" s="79" t="s">
        <v>99</v>
      </c>
      <c r="V40" s="6">
        <f t="shared" ref="V40:V52" si="5">COUNTIF(C40:U40,"x")</f>
        <v>14</v>
      </c>
    </row>
    <row r="41" spans="1:23" ht="12.95" customHeight="1" x14ac:dyDescent="0.2">
      <c r="A41" s="6">
        <v>3</v>
      </c>
      <c r="B41" s="7" t="s">
        <v>47</v>
      </c>
      <c r="C41" s="79" t="s">
        <v>99</v>
      </c>
      <c r="D41" s="79" t="s">
        <v>99</v>
      </c>
      <c r="E41" s="79" t="s">
        <v>99</v>
      </c>
      <c r="F41" s="79" t="s">
        <v>99</v>
      </c>
      <c r="G41" s="79" t="s">
        <v>99</v>
      </c>
      <c r="H41" s="79" t="s">
        <v>99</v>
      </c>
      <c r="I41" s="79" t="s">
        <v>99</v>
      </c>
      <c r="J41" s="79" t="s">
        <v>99</v>
      </c>
      <c r="K41" s="79" t="s">
        <v>99</v>
      </c>
      <c r="L41" s="79" t="s">
        <v>99</v>
      </c>
      <c r="M41" s="79" t="s">
        <v>99</v>
      </c>
      <c r="N41" s="79" t="s">
        <v>99</v>
      </c>
      <c r="O41" s="79" t="s">
        <v>99</v>
      </c>
      <c r="P41" s="33" t="s">
        <v>99</v>
      </c>
      <c r="Q41" s="79" t="s">
        <v>99</v>
      </c>
      <c r="R41" s="79" t="s">
        <v>99</v>
      </c>
      <c r="S41" s="79" t="s">
        <v>99</v>
      </c>
      <c r="T41" s="79" t="s">
        <v>99</v>
      </c>
      <c r="U41" s="79" t="s">
        <v>99</v>
      </c>
      <c r="V41" s="6">
        <f t="shared" si="5"/>
        <v>19</v>
      </c>
    </row>
    <row r="42" spans="1:23" ht="12.95" customHeight="1" x14ac:dyDescent="0.2">
      <c r="A42" s="6">
        <v>4</v>
      </c>
      <c r="B42" s="7" t="s">
        <v>49</v>
      </c>
      <c r="C42" s="79"/>
      <c r="D42" s="79"/>
      <c r="E42" s="79"/>
      <c r="F42" s="79" t="s">
        <v>99</v>
      </c>
      <c r="G42" s="79" t="s">
        <v>99</v>
      </c>
      <c r="H42" s="79" t="s">
        <v>99</v>
      </c>
      <c r="I42" s="79"/>
      <c r="J42" s="79" t="s">
        <v>99</v>
      </c>
      <c r="K42" s="79" t="s">
        <v>99</v>
      </c>
      <c r="L42" s="79"/>
      <c r="M42" s="79"/>
      <c r="N42" s="79" t="s">
        <v>99</v>
      </c>
      <c r="O42" s="79" t="s">
        <v>99</v>
      </c>
      <c r="P42" s="33" t="s">
        <v>99</v>
      </c>
      <c r="Q42" s="79" t="s">
        <v>99</v>
      </c>
      <c r="R42" s="79" t="s">
        <v>99</v>
      </c>
      <c r="S42" s="79" t="s">
        <v>99</v>
      </c>
      <c r="T42" s="79" t="s">
        <v>99</v>
      </c>
      <c r="U42" s="79" t="s">
        <v>99</v>
      </c>
      <c r="V42" s="6">
        <f t="shared" si="5"/>
        <v>13</v>
      </c>
    </row>
    <row r="43" spans="1:23" ht="12.95" customHeight="1" x14ac:dyDescent="0.2">
      <c r="A43" s="6">
        <v>5</v>
      </c>
      <c r="B43" s="7" t="s">
        <v>59</v>
      </c>
      <c r="C43" s="79" t="s">
        <v>99</v>
      </c>
      <c r="D43" s="79"/>
      <c r="E43" s="79" t="s">
        <v>99</v>
      </c>
      <c r="F43" s="79" t="s">
        <v>99</v>
      </c>
      <c r="G43" s="79" t="s">
        <v>99</v>
      </c>
      <c r="H43" s="79" t="s">
        <v>99</v>
      </c>
      <c r="I43" s="79" t="s">
        <v>99</v>
      </c>
      <c r="J43" s="79" t="s">
        <v>99</v>
      </c>
      <c r="K43" s="79" t="s">
        <v>99</v>
      </c>
      <c r="L43" s="79"/>
      <c r="M43" s="79" t="s">
        <v>99</v>
      </c>
      <c r="N43" s="79" t="s">
        <v>99</v>
      </c>
      <c r="O43" s="79" t="s">
        <v>99</v>
      </c>
      <c r="P43" s="33" t="s">
        <v>99</v>
      </c>
      <c r="Q43" s="79" t="s">
        <v>99</v>
      </c>
      <c r="R43" s="79" t="s">
        <v>99</v>
      </c>
      <c r="S43" s="79" t="s">
        <v>99</v>
      </c>
      <c r="T43" s="79" t="s">
        <v>99</v>
      </c>
      <c r="U43" s="79" t="s">
        <v>99</v>
      </c>
      <c r="V43" s="6">
        <f t="shared" si="5"/>
        <v>17</v>
      </c>
    </row>
    <row r="44" spans="1:23" ht="12.95" customHeight="1" x14ac:dyDescent="0.2">
      <c r="A44" s="6">
        <v>6</v>
      </c>
      <c r="B44" s="7" t="s">
        <v>55</v>
      </c>
      <c r="C44" s="79" t="s">
        <v>99</v>
      </c>
      <c r="D44" s="79"/>
      <c r="E44" s="79" t="s">
        <v>99</v>
      </c>
      <c r="F44" s="79" t="s">
        <v>99</v>
      </c>
      <c r="G44" s="79" t="s">
        <v>99</v>
      </c>
      <c r="H44" s="79" t="s">
        <v>99</v>
      </c>
      <c r="I44" s="79" t="s">
        <v>99</v>
      </c>
      <c r="J44" s="79" t="s">
        <v>99</v>
      </c>
      <c r="K44" s="79" t="s">
        <v>99</v>
      </c>
      <c r="L44" s="79"/>
      <c r="M44" s="79"/>
      <c r="N44" s="79" t="s">
        <v>99</v>
      </c>
      <c r="O44" s="79" t="s">
        <v>99</v>
      </c>
      <c r="P44" s="33" t="s">
        <v>99</v>
      </c>
      <c r="Q44" s="79"/>
      <c r="R44" s="79" t="s">
        <v>99</v>
      </c>
      <c r="S44" s="79"/>
      <c r="T44" s="79" t="s">
        <v>99</v>
      </c>
      <c r="U44" s="79" t="s">
        <v>99</v>
      </c>
      <c r="V44" s="6">
        <f t="shared" si="5"/>
        <v>14</v>
      </c>
    </row>
    <row r="45" spans="1:23" ht="12.95" customHeight="1" x14ac:dyDescent="0.2">
      <c r="A45" s="6">
        <v>7</v>
      </c>
      <c r="B45" s="7" t="s">
        <v>54</v>
      </c>
      <c r="C45" s="79" t="s">
        <v>99</v>
      </c>
      <c r="D45" s="79"/>
      <c r="E45" s="79"/>
      <c r="F45" s="79" t="s">
        <v>99</v>
      </c>
      <c r="G45" s="79" t="s">
        <v>99</v>
      </c>
      <c r="H45" s="79" t="s">
        <v>99</v>
      </c>
      <c r="I45" s="79" t="s">
        <v>99</v>
      </c>
      <c r="J45" s="79" t="s">
        <v>99</v>
      </c>
      <c r="K45" s="79" t="s">
        <v>99</v>
      </c>
      <c r="L45" s="79"/>
      <c r="M45" s="79"/>
      <c r="N45" s="79" t="s">
        <v>99</v>
      </c>
      <c r="O45" s="79" t="s">
        <v>99</v>
      </c>
      <c r="P45" s="33" t="s">
        <v>99</v>
      </c>
      <c r="Q45" s="79" t="s">
        <v>99</v>
      </c>
      <c r="R45" s="79" t="s">
        <v>99</v>
      </c>
      <c r="S45" s="79" t="s">
        <v>99</v>
      </c>
      <c r="T45" s="79" t="s">
        <v>99</v>
      </c>
      <c r="U45" s="79" t="s">
        <v>99</v>
      </c>
      <c r="V45" s="6">
        <f t="shared" si="5"/>
        <v>15</v>
      </c>
    </row>
    <row r="46" spans="1:23" s="11" customFormat="1" ht="12.95" customHeight="1" x14ac:dyDescent="0.2">
      <c r="A46" s="6">
        <v>8</v>
      </c>
      <c r="B46" s="7" t="s">
        <v>51</v>
      </c>
      <c r="C46" s="79" t="s">
        <v>99</v>
      </c>
      <c r="D46" s="79" t="s">
        <v>99</v>
      </c>
      <c r="E46" s="79" t="s">
        <v>99</v>
      </c>
      <c r="F46" s="79" t="s">
        <v>99</v>
      </c>
      <c r="G46" s="79" t="s">
        <v>99</v>
      </c>
      <c r="H46" s="79" t="s">
        <v>99</v>
      </c>
      <c r="I46" s="79" t="s">
        <v>99</v>
      </c>
      <c r="J46" s="79" t="s">
        <v>99</v>
      </c>
      <c r="K46" s="79" t="s">
        <v>99</v>
      </c>
      <c r="L46" s="79"/>
      <c r="M46" s="79"/>
      <c r="N46" s="79"/>
      <c r="O46" s="79" t="s">
        <v>99</v>
      </c>
      <c r="P46" s="33"/>
      <c r="Q46" s="79" t="s">
        <v>99</v>
      </c>
      <c r="R46" s="79" t="s">
        <v>99</v>
      </c>
      <c r="S46" s="79" t="s">
        <v>99</v>
      </c>
      <c r="T46" s="79" t="s">
        <v>99</v>
      </c>
      <c r="U46" s="79" t="s">
        <v>99</v>
      </c>
      <c r="V46" s="6">
        <f t="shared" si="5"/>
        <v>15</v>
      </c>
      <c r="W46" s="1"/>
    </row>
    <row r="47" spans="1:23" ht="12.95" customHeight="1" x14ac:dyDescent="0.2">
      <c r="A47" s="6">
        <v>9</v>
      </c>
      <c r="B47" s="7" t="s">
        <v>48</v>
      </c>
      <c r="C47" s="79" t="s">
        <v>99</v>
      </c>
      <c r="D47" s="79"/>
      <c r="E47" s="79"/>
      <c r="F47" s="79" t="s">
        <v>99</v>
      </c>
      <c r="G47" s="79" t="s">
        <v>99</v>
      </c>
      <c r="H47" s="79" t="s">
        <v>99</v>
      </c>
      <c r="I47" s="79" t="s">
        <v>99</v>
      </c>
      <c r="J47" s="79" t="s">
        <v>99</v>
      </c>
      <c r="K47" s="79"/>
      <c r="L47" s="79"/>
      <c r="M47" s="79"/>
      <c r="N47" s="79" t="s">
        <v>99</v>
      </c>
      <c r="O47" s="79"/>
      <c r="P47" s="33" t="s">
        <v>99</v>
      </c>
      <c r="Q47" s="79" t="s">
        <v>99</v>
      </c>
      <c r="R47" s="79" t="s">
        <v>99</v>
      </c>
      <c r="S47" s="79"/>
      <c r="T47" s="79" t="s">
        <v>99</v>
      </c>
      <c r="U47" s="79" t="s">
        <v>99</v>
      </c>
      <c r="V47" s="6">
        <f t="shared" si="5"/>
        <v>12</v>
      </c>
    </row>
    <row r="48" spans="1:23" ht="12.95" customHeight="1" x14ac:dyDescent="0.2">
      <c r="A48" s="6">
        <v>10</v>
      </c>
      <c r="B48" s="10" t="s">
        <v>53</v>
      </c>
      <c r="C48" s="79" t="s">
        <v>99</v>
      </c>
      <c r="D48" s="79"/>
      <c r="E48" s="79"/>
      <c r="F48" s="79" t="s">
        <v>99</v>
      </c>
      <c r="G48" s="79"/>
      <c r="H48" s="79" t="s">
        <v>99</v>
      </c>
      <c r="I48" s="79" t="s">
        <v>99</v>
      </c>
      <c r="J48" s="79" t="s">
        <v>99</v>
      </c>
      <c r="K48" s="79" t="s">
        <v>99</v>
      </c>
      <c r="L48" s="79"/>
      <c r="M48" s="79" t="s">
        <v>99</v>
      </c>
      <c r="N48" s="79" t="s">
        <v>99</v>
      </c>
      <c r="O48" s="79" t="s">
        <v>99</v>
      </c>
      <c r="P48" s="33" t="s">
        <v>99</v>
      </c>
      <c r="Q48" s="79" t="s">
        <v>99</v>
      </c>
      <c r="R48" s="79" t="s">
        <v>99</v>
      </c>
      <c r="S48" s="79" t="s">
        <v>99</v>
      </c>
      <c r="T48" s="79" t="s">
        <v>99</v>
      </c>
      <c r="U48" s="79" t="s">
        <v>99</v>
      </c>
      <c r="V48" s="9">
        <f t="shared" si="5"/>
        <v>15</v>
      </c>
      <c r="W48" s="11"/>
    </row>
    <row r="49" spans="1:23" ht="12.95" customHeight="1" x14ac:dyDescent="0.2">
      <c r="A49" s="6">
        <v>11</v>
      </c>
      <c r="B49" s="7" t="s">
        <v>46</v>
      </c>
      <c r="C49" s="79" t="s">
        <v>99</v>
      </c>
      <c r="D49" s="79" t="s">
        <v>99</v>
      </c>
      <c r="E49" s="79" t="s">
        <v>99</v>
      </c>
      <c r="F49" s="79" t="s">
        <v>99</v>
      </c>
      <c r="G49" s="79" t="s">
        <v>99</v>
      </c>
      <c r="H49" s="79" t="s">
        <v>99</v>
      </c>
      <c r="I49" s="79" t="s">
        <v>99</v>
      </c>
      <c r="J49" s="79" t="s">
        <v>99</v>
      </c>
      <c r="K49" s="79" t="s">
        <v>99</v>
      </c>
      <c r="L49" s="79" t="s">
        <v>99</v>
      </c>
      <c r="M49" s="79" t="s">
        <v>99</v>
      </c>
      <c r="N49" s="79" t="s">
        <v>99</v>
      </c>
      <c r="O49" s="79" t="s">
        <v>99</v>
      </c>
      <c r="P49" s="33" t="s">
        <v>99</v>
      </c>
      <c r="Q49" s="79" t="s">
        <v>99</v>
      </c>
      <c r="R49" s="79" t="s">
        <v>99</v>
      </c>
      <c r="S49" s="79" t="s">
        <v>99</v>
      </c>
      <c r="T49" s="79" t="s">
        <v>99</v>
      </c>
      <c r="U49" s="79" t="s">
        <v>99</v>
      </c>
      <c r="V49" s="6">
        <f>COUNTIF(C49:U49,"x")</f>
        <v>19</v>
      </c>
    </row>
    <row r="50" spans="1:23" ht="12.95" customHeight="1" x14ac:dyDescent="0.2">
      <c r="A50" s="6">
        <v>12</v>
      </c>
      <c r="B50" s="7" t="s">
        <v>58</v>
      </c>
      <c r="C50" s="79" t="s">
        <v>99</v>
      </c>
      <c r="D50" s="79"/>
      <c r="E50" s="79"/>
      <c r="F50" s="79" t="s">
        <v>99</v>
      </c>
      <c r="G50" s="79" t="s">
        <v>99</v>
      </c>
      <c r="H50" s="79" t="s">
        <v>99</v>
      </c>
      <c r="I50" s="79" t="s">
        <v>99</v>
      </c>
      <c r="J50" s="79" t="s">
        <v>99</v>
      </c>
      <c r="K50" s="79" t="s">
        <v>99</v>
      </c>
      <c r="L50" s="79"/>
      <c r="M50" s="79"/>
      <c r="N50" s="79" t="s">
        <v>99</v>
      </c>
      <c r="O50" s="79" t="s">
        <v>99</v>
      </c>
      <c r="P50" s="33" t="s">
        <v>99</v>
      </c>
      <c r="Q50" s="79"/>
      <c r="R50" s="79" t="s">
        <v>99</v>
      </c>
      <c r="S50" s="79" t="s">
        <v>99</v>
      </c>
      <c r="T50" s="79" t="s">
        <v>99</v>
      </c>
      <c r="U50" s="79" t="s">
        <v>99</v>
      </c>
      <c r="V50" s="6">
        <f t="shared" si="5"/>
        <v>14</v>
      </c>
    </row>
    <row r="51" spans="1:23" ht="12.95" customHeight="1" x14ac:dyDescent="0.2">
      <c r="A51" s="6">
        <v>13</v>
      </c>
      <c r="B51" s="7" t="s">
        <v>56</v>
      </c>
      <c r="C51" s="79" t="s">
        <v>99</v>
      </c>
      <c r="D51" s="79"/>
      <c r="E51" s="79"/>
      <c r="F51" s="79" t="s">
        <v>99</v>
      </c>
      <c r="G51" s="79"/>
      <c r="H51" s="79" t="s">
        <v>99</v>
      </c>
      <c r="I51" s="79" t="s">
        <v>99</v>
      </c>
      <c r="J51" s="79" t="s">
        <v>99</v>
      </c>
      <c r="K51" s="79"/>
      <c r="L51" s="79"/>
      <c r="M51" s="79" t="s">
        <v>99</v>
      </c>
      <c r="N51" s="79" t="s">
        <v>99</v>
      </c>
      <c r="O51" s="79" t="s">
        <v>99</v>
      </c>
      <c r="P51" s="33" t="s">
        <v>99</v>
      </c>
      <c r="Q51" s="79" t="s">
        <v>99</v>
      </c>
      <c r="R51" s="79" t="s">
        <v>99</v>
      </c>
      <c r="S51" s="79"/>
      <c r="T51" s="79" t="s">
        <v>99</v>
      </c>
      <c r="U51" s="79" t="s">
        <v>99</v>
      </c>
      <c r="V51" s="6">
        <f t="shared" si="5"/>
        <v>13</v>
      </c>
    </row>
    <row r="52" spans="1:23" ht="12.95" customHeight="1" x14ac:dyDescent="0.2">
      <c r="A52" s="6">
        <v>14</v>
      </c>
      <c r="B52" s="7" t="s">
        <v>57</v>
      </c>
      <c r="C52" s="79" t="s">
        <v>99</v>
      </c>
      <c r="D52" s="79"/>
      <c r="E52" s="79" t="s">
        <v>99</v>
      </c>
      <c r="F52" s="79" t="s">
        <v>99</v>
      </c>
      <c r="G52" s="79"/>
      <c r="H52" s="79" t="s">
        <v>99</v>
      </c>
      <c r="I52" s="79" t="s">
        <v>99</v>
      </c>
      <c r="J52" s="79" t="s">
        <v>99</v>
      </c>
      <c r="K52" s="79" t="s">
        <v>99</v>
      </c>
      <c r="L52" s="79"/>
      <c r="M52" s="79" t="s">
        <v>99</v>
      </c>
      <c r="N52" s="79" t="s">
        <v>99</v>
      </c>
      <c r="O52" s="79" t="s">
        <v>99</v>
      </c>
      <c r="P52" s="33" t="s">
        <v>99</v>
      </c>
      <c r="Q52" s="79"/>
      <c r="R52" s="79" t="s">
        <v>99</v>
      </c>
      <c r="S52" s="79" t="s">
        <v>99</v>
      </c>
      <c r="T52" s="79" t="s">
        <v>99</v>
      </c>
      <c r="U52" s="79" t="s">
        <v>99</v>
      </c>
      <c r="V52" s="6">
        <f t="shared" si="5"/>
        <v>15</v>
      </c>
    </row>
    <row r="53" spans="1:23" s="5" customFormat="1" ht="12.95" customHeight="1" x14ac:dyDescent="0.2">
      <c r="A53" s="261" t="s">
        <v>60</v>
      </c>
      <c r="B53" s="262"/>
      <c r="C53" s="29">
        <f>COUNTIF(C54:C59, "x")</f>
        <v>6</v>
      </c>
      <c r="D53" s="29">
        <f t="shared" ref="D53:U53" si="6">COUNTIF(D54:D59, "x")</f>
        <v>3</v>
      </c>
      <c r="E53" s="29">
        <f t="shared" si="6"/>
        <v>4</v>
      </c>
      <c r="F53" s="29">
        <f t="shared" si="6"/>
        <v>6</v>
      </c>
      <c r="G53" s="29">
        <f t="shared" si="6"/>
        <v>3</v>
      </c>
      <c r="H53" s="29">
        <f t="shared" si="6"/>
        <v>5</v>
      </c>
      <c r="I53" s="29">
        <f t="shared" si="6"/>
        <v>6</v>
      </c>
      <c r="J53" s="29">
        <f t="shared" si="6"/>
        <v>6</v>
      </c>
      <c r="K53" s="29">
        <f t="shared" si="6"/>
        <v>6</v>
      </c>
      <c r="L53" s="29">
        <f t="shared" si="6"/>
        <v>1</v>
      </c>
      <c r="M53" s="29">
        <f t="shared" si="6"/>
        <v>4</v>
      </c>
      <c r="N53" s="29">
        <f t="shared" si="6"/>
        <v>5</v>
      </c>
      <c r="O53" s="29">
        <f t="shared" si="6"/>
        <v>6</v>
      </c>
      <c r="P53" s="29">
        <f t="shared" si="6"/>
        <v>3</v>
      </c>
      <c r="Q53" s="29">
        <f t="shared" si="6"/>
        <v>1</v>
      </c>
      <c r="R53" s="29">
        <f t="shared" si="6"/>
        <v>6</v>
      </c>
      <c r="S53" s="29">
        <f t="shared" si="6"/>
        <v>4</v>
      </c>
      <c r="T53" s="29">
        <f t="shared" si="6"/>
        <v>6</v>
      </c>
      <c r="U53" s="29">
        <f t="shared" si="6"/>
        <v>6</v>
      </c>
      <c r="V53" s="32">
        <f>SUM(V54:V59)/6</f>
        <v>14.5</v>
      </c>
    </row>
    <row r="54" spans="1:23" ht="12.95" customHeight="1" x14ac:dyDescent="0.2">
      <c r="A54" s="9">
        <v>1</v>
      </c>
      <c r="B54" s="10" t="s">
        <v>64</v>
      </c>
      <c r="C54" s="8" t="s">
        <v>132</v>
      </c>
      <c r="D54" s="8"/>
      <c r="E54" s="8" t="s">
        <v>132</v>
      </c>
      <c r="F54" s="8" t="s">
        <v>132</v>
      </c>
      <c r="G54" s="84" t="s">
        <v>132</v>
      </c>
      <c r="H54" s="84"/>
      <c r="I54" s="84" t="s">
        <v>132</v>
      </c>
      <c r="J54" s="84" t="s">
        <v>132</v>
      </c>
      <c r="K54" s="84" t="s">
        <v>132</v>
      </c>
      <c r="L54" s="84"/>
      <c r="M54" s="84"/>
      <c r="N54" s="81" t="s">
        <v>99</v>
      </c>
      <c r="O54" s="81" t="s">
        <v>99</v>
      </c>
      <c r="P54" s="84"/>
      <c r="Q54" s="84"/>
      <c r="R54" s="81" t="s">
        <v>99</v>
      </c>
      <c r="S54" s="81" t="s">
        <v>99</v>
      </c>
      <c r="T54" s="81" t="s">
        <v>99</v>
      </c>
      <c r="U54" s="81" t="s">
        <v>99</v>
      </c>
      <c r="V54" s="9">
        <f t="shared" ref="V54:V59" si="7">COUNTIF(C54:U54,"x")</f>
        <v>13</v>
      </c>
      <c r="W54" s="11"/>
    </row>
    <row r="55" spans="1:23" ht="12.95" customHeight="1" x14ac:dyDescent="0.2">
      <c r="A55" s="6">
        <v>2</v>
      </c>
      <c r="B55" s="7" t="s">
        <v>62</v>
      </c>
      <c r="C55" s="8" t="s">
        <v>132</v>
      </c>
      <c r="D55" s="8" t="s">
        <v>132</v>
      </c>
      <c r="E55" s="8" t="s">
        <v>132</v>
      </c>
      <c r="F55" s="8" t="s">
        <v>132</v>
      </c>
      <c r="G55" s="84"/>
      <c r="H55" s="81" t="s">
        <v>99</v>
      </c>
      <c r="I55" s="81" t="s">
        <v>99</v>
      </c>
      <c r="J55" s="81" t="s">
        <v>99</v>
      </c>
      <c r="K55" s="81" t="s">
        <v>99</v>
      </c>
      <c r="L55" s="81" t="s">
        <v>99</v>
      </c>
      <c r="M55" s="81" t="s">
        <v>99</v>
      </c>
      <c r="N55" s="81" t="s">
        <v>99</v>
      </c>
      <c r="O55" s="81" t="s">
        <v>99</v>
      </c>
      <c r="P55" s="81" t="s">
        <v>99</v>
      </c>
      <c r="Q55" s="81" t="s">
        <v>99</v>
      </c>
      <c r="R55" s="81" t="s">
        <v>99</v>
      </c>
      <c r="S55" s="8"/>
      <c r="T55" s="81" t="s">
        <v>99</v>
      </c>
      <c r="U55" s="81" t="s">
        <v>99</v>
      </c>
      <c r="V55" s="6">
        <f t="shared" si="7"/>
        <v>17</v>
      </c>
    </row>
    <row r="56" spans="1:23" s="11" customFormat="1" ht="12.95" customHeight="1" x14ac:dyDescent="0.2">
      <c r="A56" s="9">
        <v>3</v>
      </c>
      <c r="B56" s="7" t="s">
        <v>61</v>
      </c>
      <c r="C56" s="8" t="s">
        <v>132</v>
      </c>
      <c r="D56" s="8" t="s">
        <v>132</v>
      </c>
      <c r="E56" s="8" t="s">
        <v>132</v>
      </c>
      <c r="F56" s="8" t="s">
        <v>132</v>
      </c>
      <c r="G56" s="8"/>
      <c r="H56" s="81" t="s">
        <v>99</v>
      </c>
      <c r="I56" s="81" t="s">
        <v>99</v>
      </c>
      <c r="J56" s="81" t="s">
        <v>99</v>
      </c>
      <c r="K56" s="81" t="s">
        <v>99</v>
      </c>
      <c r="L56" s="8"/>
      <c r="M56" s="8"/>
      <c r="N56" s="8"/>
      <c r="O56" s="81" t="s">
        <v>99</v>
      </c>
      <c r="P56" s="84"/>
      <c r="Q56" s="8"/>
      <c r="R56" s="81" t="s">
        <v>99</v>
      </c>
      <c r="S56" s="81" t="s">
        <v>99</v>
      </c>
      <c r="T56" s="81" t="s">
        <v>99</v>
      </c>
      <c r="U56" s="81" t="s">
        <v>99</v>
      </c>
      <c r="V56" s="6">
        <f t="shared" si="7"/>
        <v>13</v>
      </c>
      <c r="W56" s="1"/>
    </row>
    <row r="57" spans="1:23" s="11" customFormat="1" ht="12.95" customHeight="1" x14ac:dyDescent="0.2">
      <c r="A57" s="6">
        <v>4</v>
      </c>
      <c r="B57" s="7" t="s">
        <v>65</v>
      </c>
      <c r="C57" s="81" t="s">
        <v>99</v>
      </c>
      <c r="D57" s="81" t="s">
        <v>99</v>
      </c>
      <c r="E57" s="81" t="s">
        <v>99</v>
      </c>
      <c r="F57" s="81" t="s">
        <v>99</v>
      </c>
      <c r="G57" s="81" t="s">
        <v>99</v>
      </c>
      <c r="H57" s="81" t="s">
        <v>99</v>
      </c>
      <c r="I57" s="81" t="s">
        <v>99</v>
      </c>
      <c r="J57" s="81" t="s">
        <v>99</v>
      </c>
      <c r="K57" s="81" t="s">
        <v>99</v>
      </c>
      <c r="L57" s="8"/>
      <c r="M57" s="81" t="s">
        <v>99</v>
      </c>
      <c r="N57" s="81" t="s">
        <v>99</v>
      </c>
      <c r="O57" s="81" t="s">
        <v>99</v>
      </c>
      <c r="P57" s="84"/>
      <c r="Q57" s="8"/>
      <c r="R57" s="81" t="s">
        <v>99</v>
      </c>
      <c r="S57" s="81" t="s">
        <v>99</v>
      </c>
      <c r="T57" s="81" t="s">
        <v>99</v>
      </c>
      <c r="U57" s="81" t="s">
        <v>99</v>
      </c>
      <c r="V57" s="6">
        <f t="shared" si="7"/>
        <v>16</v>
      </c>
      <c r="W57" s="1"/>
    </row>
    <row r="58" spans="1:23" ht="12.95" customHeight="1" x14ac:dyDescent="0.2">
      <c r="A58" s="9">
        <v>5</v>
      </c>
      <c r="B58" s="7" t="s">
        <v>66</v>
      </c>
      <c r="C58" s="8" t="s">
        <v>132</v>
      </c>
      <c r="D58" s="8"/>
      <c r="E58" s="8"/>
      <c r="F58" s="8" t="s">
        <v>132</v>
      </c>
      <c r="G58" s="8"/>
      <c r="H58" s="81" t="s">
        <v>99</v>
      </c>
      <c r="I58" s="81" t="s">
        <v>99</v>
      </c>
      <c r="J58" s="81" t="s">
        <v>99</v>
      </c>
      <c r="K58" s="81" t="s">
        <v>99</v>
      </c>
      <c r="L58" s="8"/>
      <c r="M58" s="81" t="s">
        <v>99</v>
      </c>
      <c r="N58" s="81" t="s">
        <v>99</v>
      </c>
      <c r="O58" s="81" t="s">
        <v>99</v>
      </c>
      <c r="P58" s="81" t="s">
        <v>99</v>
      </c>
      <c r="Q58" s="8"/>
      <c r="R58" s="81" t="s">
        <v>99</v>
      </c>
      <c r="S58" s="81" t="s">
        <v>99</v>
      </c>
      <c r="T58" s="81" t="s">
        <v>99</v>
      </c>
      <c r="U58" s="81" t="s">
        <v>99</v>
      </c>
      <c r="V58" s="6">
        <f t="shared" si="7"/>
        <v>14</v>
      </c>
    </row>
    <row r="59" spans="1:23" ht="12.95" customHeight="1" x14ac:dyDescent="0.2">
      <c r="A59" s="6">
        <v>6</v>
      </c>
      <c r="B59" s="10" t="s">
        <v>63</v>
      </c>
      <c r="C59" s="8" t="s">
        <v>132</v>
      </c>
      <c r="D59" s="8"/>
      <c r="E59" s="8"/>
      <c r="F59" s="8" t="s">
        <v>132</v>
      </c>
      <c r="G59" s="84" t="s">
        <v>132</v>
      </c>
      <c r="H59" s="81" t="s">
        <v>99</v>
      </c>
      <c r="I59" s="81" t="s">
        <v>99</v>
      </c>
      <c r="J59" s="81" t="s">
        <v>99</v>
      </c>
      <c r="K59" s="81" t="s">
        <v>99</v>
      </c>
      <c r="L59" s="84"/>
      <c r="M59" s="81" t="s">
        <v>99</v>
      </c>
      <c r="N59" s="81" t="s">
        <v>99</v>
      </c>
      <c r="O59" s="81" t="s">
        <v>99</v>
      </c>
      <c r="P59" s="81" t="s">
        <v>99</v>
      </c>
      <c r="Q59" s="84"/>
      <c r="R59" s="81" t="s">
        <v>99</v>
      </c>
      <c r="S59" s="8"/>
      <c r="T59" s="81" t="s">
        <v>99</v>
      </c>
      <c r="U59" s="81" t="s">
        <v>99</v>
      </c>
      <c r="V59" s="9">
        <f t="shared" si="7"/>
        <v>14</v>
      </c>
      <c r="W59" s="11"/>
    </row>
    <row r="60" spans="1:23" s="5" customFormat="1" ht="12" customHeight="1" x14ac:dyDescent="0.2">
      <c r="A60" s="261" t="s">
        <v>67</v>
      </c>
      <c r="B60" s="262"/>
      <c r="C60" s="29">
        <f>COUNTIF(C61:C66, "x")</f>
        <v>6</v>
      </c>
      <c r="D60" s="29">
        <f t="shared" ref="D60:U60" si="8">COUNTIF(D61:D66, "x")</f>
        <v>1</v>
      </c>
      <c r="E60" s="29">
        <f t="shared" si="8"/>
        <v>2</v>
      </c>
      <c r="F60" s="29">
        <f t="shared" si="8"/>
        <v>6</v>
      </c>
      <c r="G60" s="29">
        <f t="shared" si="8"/>
        <v>4</v>
      </c>
      <c r="H60" s="29">
        <f t="shared" si="8"/>
        <v>3</v>
      </c>
      <c r="I60" s="29">
        <f t="shared" si="8"/>
        <v>6</v>
      </c>
      <c r="J60" s="29">
        <f t="shared" si="8"/>
        <v>6</v>
      </c>
      <c r="K60" s="29">
        <f t="shared" si="8"/>
        <v>1</v>
      </c>
      <c r="L60" s="29">
        <f t="shared" si="8"/>
        <v>0</v>
      </c>
      <c r="M60" s="29">
        <f t="shared" si="8"/>
        <v>1</v>
      </c>
      <c r="N60" s="29">
        <f t="shared" si="8"/>
        <v>6</v>
      </c>
      <c r="O60" s="29">
        <f t="shared" si="8"/>
        <v>4</v>
      </c>
      <c r="P60" s="29">
        <f t="shared" si="8"/>
        <v>3</v>
      </c>
      <c r="Q60" s="29">
        <f t="shared" si="8"/>
        <v>5</v>
      </c>
      <c r="R60" s="29">
        <f t="shared" si="8"/>
        <v>6</v>
      </c>
      <c r="S60" s="29">
        <f t="shared" si="8"/>
        <v>3</v>
      </c>
      <c r="T60" s="29">
        <f t="shared" si="8"/>
        <v>6</v>
      </c>
      <c r="U60" s="29">
        <f t="shared" si="8"/>
        <v>6</v>
      </c>
      <c r="V60" s="32">
        <f>SUM(V61:V66)/6</f>
        <v>12.5</v>
      </c>
    </row>
    <row r="61" spans="1:23" ht="12.95" customHeight="1" x14ac:dyDescent="0.2">
      <c r="A61" s="6">
        <v>1</v>
      </c>
      <c r="B61" s="7" t="s">
        <v>71</v>
      </c>
      <c r="C61" s="85" t="s">
        <v>132</v>
      </c>
      <c r="D61" s="85"/>
      <c r="E61" s="85"/>
      <c r="F61" s="85" t="s">
        <v>99</v>
      </c>
      <c r="G61" s="85"/>
      <c r="H61" s="84"/>
      <c r="I61" s="84" t="s">
        <v>99</v>
      </c>
      <c r="J61" s="84" t="s">
        <v>99</v>
      </c>
      <c r="K61" s="85"/>
      <c r="L61" s="85"/>
      <c r="M61" s="86"/>
      <c r="N61" s="85" t="s">
        <v>99</v>
      </c>
      <c r="O61" s="85"/>
      <c r="P61" s="84" t="s">
        <v>132</v>
      </c>
      <c r="Q61" s="85" t="s">
        <v>132</v>
      </c>
      <c r="R61" s="85" t="s">
        <v>99</v>
      </c>
      <c r="S61" s="85"/>
      <c r="T61" s="85" t="s">
        <v>99</v>
      </c>
      <c r="U61" s="85" t="s">
        <v>132</v>
      </c>
      <c r="V61" s="6">
        <f t="shared" ref="V61:V66" si="9">COUNTIF(C61:U61,"x")</f>
        <v>10</v>
      </c>
    </row>
    <row r="62" spans="1:23" ht="12.95" customHeight="1" x14ac:dyDescent="0.2">
      <c r="A62" s="6">
        <v>2</v>
      </c>
      <c r="B62" s="7" t="s">
        <v>69</v>
      </c>
      <c r="C62" s="85" t="s">
        <v>132</v>
      </c>
      <c r="D62" s="85"/>
      <c r="E62" s="85" t="s">
        <v>132</v>
      </c>
      <c r="F62" s="85" t="s">
        <v>132</v>
      </c>
      <c r="G62" s="85"/>
      <c r="H62" s="85"/>
      <c r="I62" s="85" t="s">
        <v>132</v>
      </c>
      <c r="J62" s="85" t="s">
        <v>132</v>
      </c>
      <c r="K62" s="85"/>
      <c r="L62" s="85"/>
      <c r="M62" s="86"/>
      <c r="N62" s="85" t="s">
        <v>132</v>
      </c>
      <c r="O62" s="85" t="s">
        <v>132</v>
      </c>
      <c r="P62" s="84"/>
      <c r="Q62" s="85" t="s">
        <v>132</v>
      </c>
      <c r="R62" s="85" t="s">
        <v>132</v>
      </c>
      <c r="S62" s="85" t="s">
        <v>132</v>
      </c>
      <c r="T62" s="85" t="s">
        <v>132</v>
      </c>
      <c r="U62" s="85" t="s">
        <v>132</v>
      </c>
      <c r="V62" s="6">
        <f t="shared" si="9"/>
        <v>12</v>
      </c>
    </row>
    <row r="63" spans="1:23" ht="12.95" customHeight="1" x14ac:dyDescent="0.2">
      <c r="A63" s="6">
        <v>3</v>
      </c>
      <c r="B63" s="10" t="s">
        <v>72</v>
      </c>
      <c r="C63" s="85" t="s">
        <v>132</v>
      </c>
      <c r="D63" s="85"/>
      <c r="E63" s="85"/>
      <c r="F63" s="85" t="s">
        <v>132</v>
      </c>
      <c r="G63" s="85" t="s">
        <v>132</v>
      </c>
      <c r="H63" s="84" t="s">
        <v>132</v>
      </c>
      <c r="I63" s="84" t="s">
        <v>132</v>
      </c>
      <c r="J63" s="84" t="s">
        <v>132</v>
      </c>
      <c r="K63" s="85" t="s">
        <v>132</v>
      </c>
      <c r="L63" s="85"/>
      <c r="M63" s="86"/>
      <c r="N63" s="85" t="s">
        <v>132</v>
      </c>
      <c r="O63" s="85" t="s">
        <v>132</v>
      </c>
      <c r="P63" s="84" t="s">
        <v>132</v>
      </c>
      <c r="Q63" s="85" t="s">
        <v>132</v>
      </c>
      <c r="R63" s="85" t="s">
        <v>132</v>
      </c>
      <c r="S63" s="85" t="s">
        <v>132</v>
      </c>
      <c r="T63" s="85" t="s">
        <v>132</v>
      </c>
      <c r="U63" s="85" t="s">
        <v>132</v>
      </c>
      <c r="V63" s="9">
        <f t="shared" si="9"/>
        <v>15</v>
      </c>
      <c r="W63" s="11"/>
    </row>
    <row r="64" spans="1:23" s="48" customFormat="1" ht="12.95" customHeight="1" x14ac:dyDescent="0.2">
      <c r="A64" s="46">
        <v>4</v>
      </c>
      <c r="B64" s="47" t="s">
        <v>68</v>
      </c>
      <c r="C64" s="85" t="s">
        <v>132</v>
      </c>
      <c r="D64" s="85"/>
      <c r="E64" s="85" t="s">
        <v>132</v>
      </c>
      <c r="F64" s="85" t="s">
        <v>132</v>
      </c>
      <c r="G64" s="85" t="s">
        <v>132</v>
      </c>
      <c r="H64" s="85" t="s">
        <v>132</v>
      </c>
      <c r="I64" s="85" t="s">
        <v>132</v>
      </c>
      <c r="J64" s="85" t="s">
        <v>132</v>
      </c>
      <c r="K64" s="85"/>
      <c r="L64" s="85"/>
      <c r="M64" s="86"/>
      <c r="N64" s="85" t="s">
        <v>132</v>
      </c>
      <c r="O64" s="85" t="s">
        <v>132</v>
      </c>
      <c r="P64" s="85"/>
      <c r="Q64" s="85" t="s">
        <v>132</v>
      </c>
      <c r="R64" s="85" t="s">
        <v>132</v>
      </c>
      <c r="S64" s="85" t="s">
        <v>132</v>
      </c>
      <c r="T64" s="85" t="s">
        <v>132</v>
      </c>
      <c r="U64" s="85" t="s">
        <v>132</v>
      </c>
      <c r="V64" s="46">
        <f t="shared" si="9"/>
        <v>14</v>
      </c>
    </row>
    <row r="65" spans="1:23" s="48" customFormat="1" ht="12.95" customHeight="1" x14ac:dyDescent="0.2">
      <c r="A65" s="46">
        <v>5</v>
      </c>
      <c r="B65" s="47" t="s">
        <v>70</v>
      </c>
      <c r="C65" s="85" t="s">
        <v>132</v>
      </c>
      <c r="D65" s="85" t="s">
        <v>132</v>
      </c>
      <c r="E65" s="85"/>
      <c r="F65" s="85" t="s">
        <v>132</v>
      </c>
      <c r="G65" s="85" t="s">
        <v>132</v>
      </c>
      <c r="H65" s="85" t="s">
        <v>132</v>
      </c>
      <c r="I65" s="85" t="s">
        <v>132</v>
      </c>
      <c r="J65" s="85" t="s">
        <v>132</v>
      </c>
      <c r="K65" s="85"/>
      <c r="L65" s="85"/>
      <c r="M65" s="86" t="s">
        <v>132</v>
      </c>
      <c r="N65" s="85" t="s">
        <v>132</v>
      </c>
      <c r="O65" s="85"/>
      <c r="P65" s="85"/>
      <c r="Q65" s="85"/>
      <c r="R65" s="85" t="s">
        <v>132</v>
      </c>
      <c r="S65" s="85"/>
      <c r="T65" s="85" t="s">
        <v>132</v>
      </c>
      <c r="U65" s="85" t="s">
        <v>132</v>
      </c>
      <c r="V65" s="46">
        <f t="shared" si="9"/>
        <v>12</v>
      </c>
    </row>
    <row r="66" spans="1:23" s="11" customFormat="1" ht="12.95" customHeight="1" x14ac:dyDescent="0.2">
      <c r="A66" s="6">
        <v>6</v>
      </c>
      <c r="B66" s="10" t="s">
        <v>73</v>
      </c>
      <c r="C66" s="85" t="s">
        <v>132</v>
      </c>
      <c r="D66" s="85"/>
      <c r="E66" s="85"/>
      <c r="F66" s="85" t="s">
        <v>132</v>
      </c>
      <c r="G66" s="85" t="s">
        <v>132</v>
      </c>
      <c r="H66" s="85"/>
      <c r="I66" s="85" t="s">
        <v>132</v>
      </c>
      <c r="J66" s="85" t="s">
        <v>132</v>
      </c>
      <c r="K66" s="85"/>
      <c r="L66" s="85"/>
      <c r="M66" s="86"/>
      <c r="N66" s="85" t="s">
        <v>132</v>
      </c>
      <c r="O66" s="85" t="s">
        <v>132</v>
      </c>
      <c r="P66" s="84" t="s">
        <v>132</v>
      </c>
      <c r="Q66" s="85" t="s">
        <v>132</v>
      </c>
      <c r="R66" s="85" t="s">
        <v>132</v>
      </c>
      <c r="S66" s="85"/>
      <c r="T66" s="85" t="s">
        <v>132</v>
      </c>
      <c r="U66" s="85" t="s">
        <v>132</v>
      </c>
      <c r="V66" s="9">
        <f t="shared" si="9"/>
        <v>12</v>
      </c>
    </row>
    <row r="67" spans="1:23" s="12" customFormat="1" ht="18.75" x14ac:dyDescent="0.3">
      <c r="A67" s="261" t="s">
        <v>74</v>
      </c>
      <c r="B67" s="262"/>
      <c r="C67" s="29">
        <f t="shared" ref="C67:U67" si="10">C6+C27+C38+C53+C60</f>
        <v>52</v>
      </c>
      <c r="D67" s="29">
        <f t="shared" si="10"/>
        <v>10</v>
      </c>
      <c r="E67" s="29">
        <f t="shared" si="10"/>
        <v>24</v>
      </c>
      <c r="F67" s="29">
        <f t="shared" si="10"/>
        <v>56</v>
      </c>
      <c r="G67" s="29">
        <f t="shared" si="10"/>
        <v>36</v>
      </c>
      <c r="H67" s="29">
        <f t="shared" si="10"/>
        <v>48</v>
      </c>
      <c r="I67" s="29">
        <f t="shared" si="10"/>
        <v>55</v>
      </c>
      <c r="J67" s="29">
        <f t="shared" si="10"/>
        <v>56</v>
      </c>
      <c r="K67" s="29">
        <f t="shared" si="10"/>
        <v>45</v>
      </c>
      <c r="L67" s="29">
        <f t="shared" si="10"/>
        <v>4</v>
      </c>
      <c r="M67" s="29">
        <f t="shared" si="10"/>
        <v>24</v>
      </c>
      <c r="N67" s="29">
        <f t="shared" si="10"/>
        <v>45</v>
      </c>
      <c r="O67" s="29">
        <f t="shared" si="10"/>
        <v>42</v>
      </c>
      <c r="P67" s="29">
        <f t="shared" si="10"/>
        <v>38</v>
      </c>
      <c r="Q67" s="29">
        <f t="shared" si="10"/>
        <v>28</v>
      </c>
      <c r="R67" s="29">
        <f t="shared" si="10"/>
        <v>56</v>
      </c>
      <c r="S67" s="29">
        <f t="shared" si="10"/>
        <v>38</v>
      </c>
      <c r="T67" s="29">
        <f t="shared" si="10"/>
        <v>55</v>
      </c>
      <c r="U67" s="29">
        <f t="shared" si="10"/>
        <v>56</v>
      </c>
      <c r="V67" s="82">
        <f>(SUM(V61:V66)+SUM(V54:V59)+SUM(V39:V52)+SUM(V28:V37)+SUM(V7:V26))/56</f>
        <v>13.714285714285714</v>
      </c>
      <c r="W67" s="83"/>
    </row>
    <row r="68" spans="1:23" ht="16.5" customHeight="1" x14ac:dyDescent="0.2">
      <c r="A68" s="263" t="s">
        <v>75</v>
      </c>
      <c r="B68" s="264"/>
      <c r="C68" s="16">
        <f>100*C67/56</f>
        <v>92.857142857142861</v>
      </c>
      <c r="D68" s="17">
        <f t="shared" ref="D68:U68" si="11">100*D67/56</f>
        <v>17.857142857142858</v>
      </c>
      <c r="E68" s="16">
        <f t="shared" si="11"/>
        <v>42.857142857142854</v>
      </c>
      <c r="F68" s="16">
        <f t="shared" si="11"/>
        <v>100</v>
      </c>
      <c r="G68" s="16">
        <f t="shared" si="11"/>
        <v>64.285714285714292</v>
      </c>
      <c r="H68" s="16">
        <f t="shared" si="11"/>
        <v>85.714285714285708</v>
      </c>
      <c r="I68" s="16">
        <f t="shared" si="11"/>
        <v>98.214285714285708</v>
      </c>
      <c r="J68" s="16">
        <f t="shared" si="11"/>
        <v>100</v>
      </c>
      <c r="K68" s="16">
        <f t="shared" si="11"/>
        <v>80.357142857142861</v>
      </c>
      <c r="L68" s="16">
        <f t="shared" si="11"/>
        <v>7.1428571428571432</v>
      </c>
      <c r="M68" s="16">
        <f t="shared" si="11"/>
        <v>42.857142857142854</v>
      </c>
      <c r="N68" s="16">
        <f t="shared" si="11"/>
        <v>80.357142857142861</v>
      </c>
      <c r="O68" s="16">
        <f t="shared" si="11"/>
        <v>75</v>
      </c>
      <c r="P68" s="16">
        <f t="shared" si="11"/>
        <v>67.857142857142861</v>
      </c>
      <c r="Q68" s="16">
        <f>100*Q67/56</f>
        <v>50</v>
      </c>
      <c r="R68" s="16">
        <f t="shared" si="11"/>
        <v>100</v>
      </c>
      <c r="S68" s="16">
        <f t="shared" si="11"/>
        <v>67.857142857142861</v>
      </c>
      <c r="T68" s="16">
        <f t="shared" si="11"/>
        <v>98.214285714285708</v>
      </c>
      <c r="U68" s="16">
        <f t="shared" si="11"/>
        <v>100</v>
      </c>
      <c r="V68" s="16"/>
    </row>
    <row r="69" spans="1:23" ht="15" customHeight="1" x14ac:dyDescent="0.2">
      <c r="A69" s="265" t="s">
        <v>133</v>
      </c>
      <c r="B69" s="266"/>
      <c r="C69" s="266"/>
      <c r="D69" s="266"/>
      <c r="E69" s="266"/>
      <c r="F69" s="266"/>
      <c r="G69" s="266"/>
      <c r="H69" s="266"/>
      <c r="I69" s="266"/>
      <c r="J69" s="266"/>
      <c r="K69" s="266"/>
      <c r="L69" s="266"/>
      <c r="M69" s="266"/>
      <c r="N69" s="266"/>
      <c r="O69" s="266"/>
      <c r="P69" s="266"/>
      <c r="Q69" s="266"/>
      <c r="R69" s="266"/>
      <c r="S69" s="266"/>
      <c r="T69" s="266"/>
      <c r="U69" s="266"/>
      <c r="V69" s="267"/>
    </row>
    <row r="70" spans="1:23" ht="18" customHeight="1" x14ac:dyDescent="0.3">
      <c r="K70" s="13"/>
      <c r="L70" s="13"/>
      <c r="M70" s="13"/>
      <c r="N70" s="13"/>
      <c r="O70" s="13"/>
      <c r="P70" s="26"/>
      <c r="Q70" s="13"/>
      <c r="R70" s="13"/>
      <c r="S70" s="13"/>
      <c r="T70" s="13"/>
      <c r="U70" s="13"/>
      <c r="V70" s="14"/>
    </row>
    <row r="71" spans="1:23" ht="22.5" customHeight="1" x14ac:dyDescent="0.2">
      <c r="C71" s="268" t="s">
        <v>76</v>
      </c>
      <c r="D71" s="268" t="s">
        <v>77</v>
      </c>
      <c r="E71" s="268"/>
      <c r="F71" s="268"/>
      <c r="G71" s="268"/>
      <c r="H71" s="268" t="s">
        <v>78</v>
      </c>
      <c r="I71" s="268"/>
      <c r="K71" s="279"/>
      <c r="L71" s="268" t="s">
        <v>76</v>
      </c>
      <c r="M71" s="268" t="s">
        <v>77</v>
      </c>
      <c r="N71" s="268"/>
      <c r="O71" s="268"/>
      <c r="P71" s="268" t="s">
        <v>78</v>
      </c>
      <c r="Q71" s="268"/>
    </row>
    <row r="72" spans="1:23" ht="28.5" customHeight="1" x14ac:dyDescent="0.2">
      <c r="C72" s="268"/>
      <c r="D72" s="268"/>
      <c r="E72" s="268"/>
      <c r="F72" s="268"/>
      <c r="G72" s="268"/>
      <c r="H72" s="19" t="s">
        <v>79</v>
      </c>
      <c r="I72" s="19" t="s">
        <v>80</v>
      </c>
      <c r="K72" s="279"/>
      <c r="L72" s="268"/>
      <c r="M72" s="268"/>
      <c r="N72" s="268"/>
      <c r="O72" s="268"/>
      <c r="P72" s="19" t="s">
        <v>79</v>
      </c>
      <c r="Q72" s="19" t="s">
        <v>80</v>
      </c>
    </row>
    <row r="73" spans="1:23" ht="15.75" x14ac:dyDescent="0.2">
      <c r="C73" s="54">
        <v>1</v>
      </c>
      <c r="D73" s="273" t="s">
        <v>130</v>
      </c>
      <c r="E73" s="274"/>
      <c r="F73" s="274"/>
      <c r="G73" s="275"/>
      <c r="H73" s="19">
        <f>COUNTIF($V$28:$V$37,1)+COUNTIF($V$39:$V$52,1)+COUNTIF($V$7:$V$26,1)+COUNTIF($V$54:$V$59,1)+COUNTIF($V$61:$V$66,1)</f>
        <v>0</v>
      </c>
      <c r="I73" s="20">
        <f t="shared" ref="I73:I91" si="12">H73/$H$92*100</f>
        <v>0</v>
      </c>
      <c r="K73" s="80"/>
      <c r="L73" s="8">
        <v>1</v>
      </c>
      <c r="M73" s="273" t="s">
        <v>109</v>
      </c>
      <c r="N73" s="274"/>
      <c r="O73" s="275"/>
      <c r="P73" s="21">
        <f>C67</f>
        <v>52</v>
      </c>
      <c r="Q73" s="20">
        <f t="shared" ref="Q73:Q91" si="13">P73/$H$92*100</f>
        <v>92.857142857142861</v>
      </c>
    </row>
    <row r="74" spans="1:23" ht="15.75" x14ac:dyDescent="0.2">
      <c r="C74" s="54">
        <v>2</v>
      </c>
      <c r="D74" s="273" t="s">
        <v>128</v>
      </c>
      <c r="E74" s="274"/>
      <c r="F74" s="274"/>
      <c r="G74" s="275"/>
      <c r="H74" s="8">
        <f>COUNTIF($V$28:$V$37,2)+COUNTIF($V$39:$V$52,2)+COUNTIF($V$7:$V$26,2)+COUNTIF($V$54:$V$59,2)+COUNTIF($V$61:$V$66,2)</f>
        <v>0</v>
      </c>
      <c r="I74" s="20">
        <f t="shared" si="12"/>
        <v>0</v>
      </c>
      <c r="K74" s="80"/>
      <c r="L74" s="8">
        <v>2</v>
      </c>
      <c r="M74" s="273" t="s">
        <v>110</v>
      </c>
      <c r="N74" s="274"/>
      <c r="O74" s="275"/>
      <c r="P74" s="21">
        <f>D67</f>
        <v>10</v>
      </c>
      <c r="Q74" s="20">
        <f t="shared" si="13"/>
        <v>17.857142857142858</v>
      </c>
    </row>
    <row r="75" spans="1:23" s="22" customFormat="1" ht="18" customHeight="1" x14ac:dyDescent="0.2">
      <c r="C75" s="54">
        <v>3</v>
      </c>
      <c r="D75" s="273" t="s">
        <v>81</v>
      </c>
      <c r="E75" s="274"/>
      <c r="F75" s="274"/>
      <c r="G75" s="275"/>
      <c r="H75" s="8">
        <f>COUNTIF($V$28:$V$37,3)+COUNTIF($V$39:$V$52,3)+COUNTIF($V$7:$V$26,3)+COUNTIF($V$54:$V$59,3)+COUNTIF($V$61:$V$66,3)</f>
        <v>0</v>
      </c>
      <c r="I75" s="20">
        <f t="shared" si="12"/>
        <v>0</v>
      </c>
      <c r="K75" s="80"/>
      <c r="L75" s="8">
        <v>3</v>
      </c>
      <c r="M75" s="273" t="s">
        <v>111</v>
      </c>
      <c r="N75" s="274"/>
      <c r="O75" s="275"/>
      <c r="P75" s="21">
        <f>E67</f>
        <v>24</v>
      </c>
      <c r="Q75" s="20">
        <f t="shared" si="13"/>
        <v>42.857142857142854</v>
      </c>
      <c r="T75" s="27"/>
    </row>
    <row r="76" spans="1:23" s="22" customFormat="1" ht="18" customHeight="1" x14ac:dyDescent="0.2">
      <c r="C76" s="54">
        <v>4</v>
      </c>
      <c r="D76" s="273" t="s">
        <v>82</v>
      </c>
      <c r="E76" s="274"/>
      <c r="F76" s="274"/>
      <c r="G76" s="275"/>
      <c r="H76" s="8">
        <f>COUNTIF($V$28:$V$37,4)+COUNTIF($V$39:$V$52,4)+COUNTIF($V$7:$V$26,4)+COUNTIF($V$54:$V$59,4)+COUNTIF($V$61:$V$66,4)</f>
        <v>0</v>
      </c>
      <c r="I76" s="20">
        <f t="shared" si="12"/>
        <v>0</v>
      </c>
      <c r="K76" s="80"/>
      <c r="L76" s="8">
        <v>4</v>
      </c>
      <c r="M76" s="273" t="s">
        <v>112</v>
      </c>
      <c r="N76" s="274"/>
      <c r="O76" s="275"/>
      <c r="P76" s="21">
        <f>F67</f>
        <v>56</v>
      </c>
      <c r="Q76" s="20">
        <f t="shared" si="13"/>
        <v>100</v>
      </c>
      <c r="T76" s="27"/>
    </row>
    <row r="77" spans="1:23" s="22" customFormat="1" ht="18" customHeight="1" x14ac:dyDescent="0.2">
      <c r="C77" s="54">
        <v>5</v>
      </c>
      <c r="D77" s="273" t="s">
        <v>83</v>
      </c>
      <c r="E77" s="274"/>
      <c r="F77" s="274"/>
      <c r="G77" s="275"/>
      <c r="H77" s="8">
        <f>COUNTIF($V$28:$V$37,5)+COUNTIF($V$39:$V$52,5)+COUNTIF($V$7:$V$26,5)+COUNTIF($V$54:$V$59,5)+COUNTIF($V$61:$V$66,5)</f>
        <v>0</v>
      </c>
      <c r="I77" s="20">
        <f t="shared" si="12"/>
        <v>0</v>
      </c>
      <c r="J77" s="23">
        <f>SUM(H77:H81)</f>
        <v>1</v>
      </c>
      <c r="K77" s="80"/>
      <c r="L77" s="8">
        <v>5</v>
      </c>
      <c r="M77" s="273" t="s">
        <v>113</v>
      </c>
      <c r="N77" s="274"/>
      <c r="O77" s="275"/>
      <c r="P77" s="21">
        <f>G67</f>
        <v>36</v>
      </c>
      <c r="Q77" s="20">
        <f t="shared" si="13"/>
        <v>64.285714285714292</v>
      </c>
      <c r="T77" s="27"/>
    </row>
    <row r="78" spans="1:23" s="22" customFormat="1" ht="18" customHeight="1" x14ac:dyDescent="0.2">
      <c r="C78" s="54">
        <v>6</v>
      </c>
      <c r="D78" s="273" t="s">
        <v>84</v>
      </c>
      <c r="E78" s="274"/>
      <c r="F78" s="274"/>
      <c r="G78" s="275"/>
      <c r="H78" s="8">
        <f>COUNTIF($V$28:$V$37,6)+COUNTIF($V$39:$V$52,6)+COUNTIF($V$7:$V$26,6)+COUNTIF($V$54:$V$59,6)+COUNTIF($V$61:$V$66,6)</f>
        <v>0</v>
      </c>
      <c r="I78" s="20">
        <f t="shared" si="12"/>
        <v>0</v>
      </c>
      <c r="J78" s="23"/>
      <c r="K78" s="80"/>
      <c r="L78" s="8">
        <v>6</v>
      </c>
      <c r="M78" s="273" t="s">
        <v>114</v>
      </c>
      <c r="N78" s="274"/>
      <c r="O78" s="275"/>
      <c r="P78" s="21">
        <f>H67</f>
        <v>48</v>
      </c>
      <c r="Q78" s="20">
        <f t="shared" si="13"/>
        <v>85.714285714285708</v>
      </c>
      <c r="T78" s="27"/>
    </row>
    <row r="79" spans="1:23" s="22" customFormat="1" ht="18" customHeight="1" x14ac:dyDescent="0.2">
      <c r="C79" s="54">
        <v>7</v>
      </c>
      <c r="D79" s="273" t="s">
        <v>85</v>
      </c>
      <c r="E79" s="274"/>
      <c r="F79" s="274"/>
      <c r="G79" s="275"/>
      <c r="H79" s="8">
        <f>COUNTIF($V$28:$V$37,7)+COUNTIF($V$39:$V$52,7)+COUNTIF($V$7:$V$26,7)+COUNTIF($V$54:$V$59,7)+COUNTIF($V$61:$V$66,7)</f>
        <v>0</v>
      </c>
      <c r="I79" s="20">
        <f t="shared" si="12"/>
        <v>0</v>
      </c>
      <c r="J79" s="23"/>
      <c r="K79" s="80"/>
      <c r="L79" s="8">
        <v>7</v>
      </c>
      <c r="M79" s="273" t="s">
        <v>115</v>
      </c>
      <c r="N79" s="274"/>
      <c r="O79" s="275"/>
      <c r="P79" s="21">
        <f>I67</f>
        <v>55</v>
      </c>
      <c r="Q79" s="20">
        <f t="shared" si="13"/>
        <v>98.214285714285708</v>
      </c>
      <c r="T79" s="27"/>
    </row>
    <row r="80" spans="1:23" s="22" customFormat="1" ht="18" customHeight="1" x14ac:dyDescent="0.2">
      <c r="C80" s="54">
        <v>8</v>
      </c>
      <c r="D80" s="273" t="s">
        <v>86</v>
      </c>
      <c r="E80" s="274"/>
      <c r="F80" s="274"/>
      <c r="G80" s="275"/>
      <c r="H80" s="8">
        <f>COUNTIF($V$28:$V$37,8)+COUNTIF($V$39:$V$52,8)+COUNTIF($V$7:$V$26,8)+COUNTIF($V$54:$V$59,8)+COUNTIF($V$61:$V$66,8)</f>
        <v>0</v>
      </c>
      <c r="I80" s="20">
        <f t="shared" si="12"/>
        <v>0</v>
      </c>
      <c r="J80" s="23"/>
      <c r="K80" s="80"/>
      <c r="L80" s="8">
        <v>8</v>
      </c>
      <c r="M80" s="273" t="s">
        <v>116</v>
      </c>
      <c r="N80" s="274"/>
      <c r="O80" s="275"/>
      <c r="P80" s="21">
        <f>J67</f>
        <v>56</v>
      </c>
      <c r="Q80" s="20">
        <f t="shared" si="13"/>
        <v>100</v>
      </c>
      <c r="T80" s="27"/>
    </row>
    <row r="81" spans="3:20" s="22" customFormat="1" ht="18" customHeight="1" x14ac:dyDescent="0.2">
      <c r="C81" s="54">
        <v>9</v>
      </c>
      <c r="D81" s="273" t="s">
        <v>87</v>
      </c>
      <c r="E81" s="274"/>
      <c r="F81" s="274"/>
      <c r="G81" s="275"/>
      <c r="H81" s="8">
        <f>COUNTIF($V$28:$V$37,9)+COUNTIF($V$39:$V$52,9)+COUNTIF($V$7:$V$26,9)+COUNTIF($V$54:$V$59,9)+COUNTIF($V$61:$V$66,9)</f>
        <v>1</v>
      </c>
      <c r="I81" s="20">
        <f t="shared" si="12"/>
        <v>1.7857142857142856</v>
      </c>
      <c r="K81" s="80"/>
      <c r="L81" s="8">
        <v>9</v>
      </c>
      <c r="M81" s="273" t="s">
        <v>117</v>
      </c>
      <c r="N81" s="274"/>
      <c r="O81" s="275"/>
      <c r="P81" s="21">
        <f>K67</f>
        <v>45</v>
      </c>
      <c r="Q81" s="20">
        <f t="shared" si="13"/>
        <v>80.357142857142861</v>
      </c>
      <c r="T81" s="27"/>
    </row>
    <row r="82" spans="3:20" s="22" customFormat="1" ht="18" customHeight="1" x14ac:dyDescent="0.2">
      <c r="C82" s="54">
        <v>10</v>
      </c>
      <c r="D82" s="273" t="s">
        <v>88</v>
      </c>
      <c r="E82" s="274"/>
      <c r="F82" s="274"/>
      <c r="G82" s="275"/>
      <c r="H82" s="8">
        <f>COUNTIF($V$28:$V$37,10)+COUNTIF($V$39:$V$52,10)+COUNTIF($V$7:$V$26,10)+COUNTIF($V$54:$V$59,10)+COUNTIF($V$61:$V$66,10)</f>
        <v>2</v>
      </c>
      <c r="I82" s="20">
        <f t="shared" si="12"/>
        <v>3.5714285714285712</v>
      </c>
      <c r="K82" s="80"/>
      <c r="L82" s="8">
        <v>10</v>
      </c>
      <c r="M82" s="273" t="s">
        <v>118</v>
      </c>
      <c r="N82" s="274"/>
      <c r="O82" s="275"/>
      <c r="P82" s="21">
        <f>L67</f>
        <v>4</v>
      </c>
      <c r="Q82" s="20">
        <f t="shared" si="13"/>
        <v>7.1428571428571423</v>
      </c>
      <c r="T82" s="27"/>
    </row>
    <row r="83" spans="3:20" s="22" customFormat="1" ht="18" customHeight="1" x14ac:dyDescent="0.2">
      <c r="C83" s="54">
        <v>11</v>
      </c>
      <c r="D83" s="273" t="s">
        <v>89</v>
      </c>
      <c r="E83" s="274"/>
      <c r="F83" s="274"/>
      <c r="G83" s="275"/>
      <c r="H83" s="8">
        <f>COUNTIF($V$28:$V$37,11)+COUNTIF($V$39:$V$52,11)+COUNTIF($V$7:$V$26,11)+COUNTIF($V$54:$V$59,11)+COUNTIF($V$61:$V$66,11)</f>
        <v>3</v>
      </c>
      <c r="I83" s="20">
        <f t="shared" si="12"/>
        <v>5.3571428571428568</v>
      </c>
      <c r="K83" s="80"/>
      <c r="L83" s="8">
        <v>11</v>
      </c>
      <c r="M83" s="273" t="s">
        <v>119</v>
      </c>
      <c r="N83" s="274"/>
      <c r="O83" s="275"/>
      <c r="P83" s="21">
        <f>M67</f>
        <v>24</v>
      </c>
      <c r="Q83" s="20">
        <f t="shared" si="13"/>
        <v>42.857142857142854</v>
      </c>
      <c r="T83" s="27"/>
    </row>
    <row r="84" spans="3:20" s="22" customFormat="1" ht="18" customHeight="1" x14ac:dyDescent="0.2">
      <c r="C84" s="54">
        <v>12</v>
      </c>
      <c r="D84" s="273" t="s">
        <v>90</v>
      </c>
      <c r="E84" s="274"/>
      <c r="F84" s="274"/>
      <c r="G84" s="275"/>
      <c r="H84" s="8">
        <f>COUNTIF($V$28:$V$37,12)+COUNTIF($V$39:$V$52,12)+COUNTIF($V$7:$V$26,12)+COUNTIF($V$54:$V$59,12)+COUNTIF($V$61:$V$66,12)</f>
        <v>8</v>
      </c>
      <c r="I84" s="20">
        <f t="shared" si="12"/>
        <v>14.285714285714285</v>
      </c>
      <c r="K84" s="80"/>
      <c r="L84" s="8">
        <v>12</v>
      </c>
      <c r="M84" s="273" t="s">
        <v>120</v>
      </c>
      <c r="N84" s="274"/>
      <c r="O84" s="275"/>
      <c r="P84" s="21">
        <f>N67</f>
        <v>45</v>
      </c>
      <c r="Q84" s="20">
        <f t="shared" si="13"/>
        <v>80.357142857142861</v>
      </c>
      <c r="T84" s="27"/>
    </row>
    <row r="85" spans="3:20" s="22" customFormat="1" ht="18" customHeight="1" x14ac:dyDescent="0.2">
      <c r="C85" s="54">
        <v>13</v>
      </c>
      <c r="D85" s="273" t="s">
        <v>91</v>
      </c>
      <c r="E85" s="274"/>
      <c r="F85" s="274"/>
      <c r="G85" s="275"/>
      <c r="H85" s="8">
        <f>COUNTIF($V$28:$V$37,13)+COUNTIF($V$39:$V$52,13)+COUNTIF($V$7:$V$26,13)+COUNTIF($V$54:$V$59,13)+COUNTIF($V$61:$V$66,13)</f>
        <v>14</v>
      </c>
      <c r="I85" s="20">
        <f t="shared" si="12"/>
        <v>25</v>
      </c>
      <c r="K85" s="80"/>
      <c r="L85" s="8">
        <v>13</v>
      </c>
      <c r="M85" s="273" t="s">
        <v>121</v>
      </c>
      <c r="N85" s="274"/>
      <c r="O85" s="275"/>
      <c r="P85" s="21">
        <f>O67</f>
        <v>42</v>
      </c>
      <c r="Q85" s="20">
        <f t="shared" si="13"/>
        <v>75</v>
      </c>
      <c r="T85" s="27"/>
    </row>
    <row r="86" spans="3:20" s="22" customFormat="1" ht="18" customHeight="1" x14ac:dyDescent="0.2">
      <c r="C86" s="54">
        <v>14</v>
      </c>
      <c r="D86" s="273" t="s">
        <v>92</v>
      </c>
      <c r="E86" s="274"/>
      <c r="F86" s="274"/>
      <c r="G86" s="275"/>
      <c r="H86" s="8">
        <f>COUNTIF($V$28:$V$37,14)+COUNTIF($V$39:$V$52,14)+COUNTIF($V$7:$V$26,14)+COUNTIF($V$54:$V$59,14)+COUNTIF($V$61:$V$66,14)</f>
        <v>10</v>
      </c>
      <c r="I86" s="20">
        <f t="shared" si="12"/>
        <v>17.857142857142858</v>
      </c>
      <c r="K86" s="80"/>
      <c r="L86" s="8">
        <v>14</v>
      </c>
      <c r="M86" s="273" t="s">
        <v>122</v>
      </c>
      <c r="N86" s="274"/>
      <c r="O86" s="275"/>
      <c r="P86" s="21">
        <f>P67</f>
        <v>38</v>
      </c>
      <c r="Q86" s="20">
        <f t="shared" si="13"/>
        <v>67.857142857142861</v>
      </c>
      <c r="T86" s="27"/>
    </row>
    <row r="87" spans="3:20" s="22" customFormat="1" ht="18" customHeight="1" x14ac:dyDescent="0.2">
      <c r="C87" s="54">
        <v>15</v>
      </c>
      <c r="D87" s="273" t="s">
        <v>93</v>
      </c>
      <c r="E87" s="274"/>
      <c r="F87" s="274"/>
      <c r="G87" s="275"/>
      <c r="H87" s="8">
        <f>COUNTIF($V$28:$V$37,15)+COUNTIF($V$39:$V$52,15)+COUNTIF($V$7:$V$26,15)+COUNTIF($V$54:$V$59,15)+COUNTIF($V$61:$V$66,15)</f>
        <v>9</v>
      </c>
      <c r="I87" s="20">
        <f t="shared" si="12"/>
        <v>16.071428571428573</v>
      </c>
      <c r="K87" s="80"/>
      <c r="L87" s="8">
        <v>15</v>
      </c>
      <c r="M87" s="273" t="s">
        <v>123</v>
      </c>
      <c r="N87" s="274"/>
      <c r="O87" s="275"/>
      <c r="P87" s="21">
        <f>Q67</f>
        <v>28</v>
      </c>
      <c r="Q87" s="20">
        <f t="shared" si="13"/>
        <v>50</v>
      </c>
      <c r="T87" s="27"/>
    </row>
    <row r="88" spans="3:20" s="22" customFormat="1" ht="18" customHeight="1" x14ac:dyDescent="0.2">
      <c r="C88" s="54">
        <v>16</v>
      </c>
      <c r="D88" s="273" t="s">
        <v>94</v>
      </c>
      <c r="E88" s="274"/>
      <c r="F88" s="274"/>
      <c r="G88" s="275"/>
      <c r="H88" s="8">
        <f>COUNTIF($V$28:$V$37,16)+COUNTIF($V$39:$V$52,16)+COUNTIF($V$7:$V$26,16)+COUNTIF($V$54:$V$59,16)+COUNTIF($V$61:$V$66,16)</f>
        <v>4</v>
      </c>
      <c r="I88" s="20">
        <f t="shared" si="12"/>
        <v>7.1428571428571423</v>
      </c>
      <c r="K88" s="80"/>
      <c r="L88" s="8">
        <v>16</v>
      </c>
      <c r="M88" s="273" t="s">
        <v>124</v>
      </c>
      <c r="N88" s="274"/>
      <c r="O88" s="275"/>
      <c r="P88" s="21">
        <f>R67</f>
        <v>56</v>
      </c>
      <c r="Q88" s="20">
        <f t="shared" si="13"/>
        <v>100</v>
      </c>
      <c r="T88" s="27"/>
    </row>
    <row r="89" spans="3:20" s="22" customFormat="1" ht="18" customHeight="1" x14ac:dyDescent="0.2">
      <c r="C89" s="54">
        <v>17</v>
      </c>
      <c r="D89" s="273" t="s">
        <v>95</v>
      </c>
      <c r="E89" s="274"/>
      <c r="F89" s="274"/>
      <c r="G89" s="275"/>
      <c r="H89" s="8">
        <f>COUNTIF($V$28:$V$37,17)+COUNTIF($V$39:$V$52,17)+COUNTIF($V$7:$V$26,17)+COUNTIF($V$54:$V$59,17)+COUNTIF($V$61:$V$66,17)</f>
        <v>3</v>
      </c>
      <c r="I89" s="20">
        <f t="shared" si="12"/>
        <v>5.3571428571428568</v>
      </c>
      <c r="K89" s="80"/>
      <c r="L89" s="8">
        <v>17</v>
      </c>
      <c r="M89" s="273" t="s">
        <v>125</v>
      </c>
      <c r="N89" s="274"/>
      <c r="O89" s="275"/>
      <c r="P89" s="21">
        <f>S67</f>
        <v>38</v>
      </c>
      <c r="Q89" s="20">
        <f t="shared" si="13"/>
        <v>67.857142857142861</v>
      </c>
      <c r="T89" s="27"/>
    </row>
    <row r="90" spans="3:20" s="22" customFormat="1" ht="18" customHeight="1" x14ac:dyDescent="0.2">
      <c r="C90" s="54">
        <v>18</v>
      </c>
      <c r="D90" s="273" t="s">
        <v>96</v>
      </c>
      <c r="E90" s="274"/>
      <c r="F90" s="274"/>
      <c r="G90" s="275"/>
      <c r="H90" s="8">
        <f>COUNTIF($V$28:$V$37,18)+COUNTIF($V$39:$V$52,18)+COUNTIF($V$7:$V$26,18)+COUNTIF($V$54:$V$59,18)+COUNTIF($V$61:$V$66,18)</f>
        <v>0</v>
      </c>
      <c r="I90" s="20">
        <f t="shared" si="12"/>
        <v>0</v>
      </c>
      <c r="K90" s="80"/>
      <c r="L90" s="8">
        <v>18</v>
      </c>
      <c r="M90" s="273" t="s">
        <v>126</v>
      </c>
      <c r="N90" s="274"/>
      <c r="O90" s="275"/>
      <c r="P90" s="8">
        <f>T67</f>
        <v>55</v>
      </c>
      <c r="Q90" s="20">
        <f t="shared" si="13"/>
        <v>98.214285714285708</v>
      </c>
      <c r="T90" s="27"/>
    </row>
    <row r="91" spans="3:20" s="22" customFormat="1" ht="18" customHeight="1" x14ac:dyDescent="0.2">
      <c r="C91" s="54">
        <v>19</v>
      </c>
      <c r="D91" s="273" t="s">
        <v>97</v>
      </c>
      <c r="E91" s="274"/>
      <c r="F91" s="274"/>
      <c r="G91" s="275"/>
      <c r="H91" s="8">
        <f>COUNTIF($V$28:$V$37,19)+COUNTIF($V$39:$V$52,19)+COUNTIF($V$7:$V$26,19)+COUNTIF($V$54:$V$59,19)+COUNTIF($V$61:$V$66,19)</f>
        <v>2</v>
      </c>
      <c r="I91" s="20">
        <f t="shared" si="12"/>
        <v>3.5714285714285712</v>
      </c>
      <c r="K91" s="80"/>
      <c r="L91" s="8">
        <v>19</v>
      </c>
      <c r="M91" s="273" t="s">
        <v>127</v>
      </c>
      <c r="N91" s="274"/>
      <c r="O91" s="275"/>
      <c r="P91" s="8">
        <f>U67</f>
        <v>56</v>
      </c>
      <c r="Q91" s="20">
        <f t="shared" si="13"/>
        <v>100</v>
      </c>
      <c r="T91" s="27"/>
    </row>
    <row r="92" spans="3:20" s="22" customFormat="1" ht="18" customHeight="1" x14ac:dyDescent="0.2">
      <c r="C92" s="276" t="s">
        <v>98</v>
      </c>
      <c r="D92" s="277"/>
      <c r="E92" s="277"/>
      <c r="F92" s="277"/>
      <c r="G92" s="278"/>
      <c r="H92" s="68">
        <f>SUM(H74:H91)</f>
        <v>56</v>
      </c>
      <c r="I92" s="55">
        <v>100</v>
      </c>
      <c r="L92" s="76"/>
      <c r="M92" s="76"/>
      <c r="N92" s="76"/>
      <c r="O92" s="76"/>
      <c r="P92" s="77"/>
      <c r="Q92" s="78"/>
      <c r="T92" s="27"/>
    </row>
    <row r="93" spans="3:20" x14ac:dyDescent="0.2">
      <c r="L93" s="65"/>
    </row>
    <row r="94" spans="3:20" x14ac:dyDescent="0.2">
      <c r="L94" s="65"/>
      <c r="M94" s="65"/>
    </row>
    <row r="95" spans="3:20" x14ac:dyDescent="0.2">
      <c r="L95" s="65"/>
      <c r="M95" s="65"/>
    </row>
    <row r="96" spans="3:20" x14ac:dyDescent="0.2">
      <c r="L96" s="66"/>
      <c r="M96" s="66"/>
      <c r="N96" s="5"/>
      <c r="O96" s="5"/>
      <c r="P96" s="67"/>
      <c r="Q96" s="5"/>
    </row>
    <row r="97" spans="12:17" s="5" customFormat="1" x14ac:dyDescent="0.2">
      <c r="L97" s="66"/>
      <c r="M97" s="66"/>
      <c r="P97" s="67"/>
    </row>
    <row r="98" spans="12:17" s="5" customFormat="1" x14ac:dyDescent="0.2">
      <c r="L98" s="65"/>
      <c r="M98" s="65"/>
      <c r="N98" s="1"/>
      <c r="O98" s="1"/>
      <c r="P98" s="11"/>
      <c r="Q98" s="1"/>
    </row>
    <row r="99" spans="12:17" x14ac:dyDescent="0.2">
      <c r="L99" s="65"/>
      <c r="M99" s="65"/>
    </row>
    <row r="100" spans="12:17" x14ac:dyDescent="0.2">
      <c r="L100" s="65"/>
      <c r="M100" s="65"/>
    </row>
    <row r="101" spans="12:17" x14ac:dyDescent="0.2">
      <c r="L101" s="65"/>
    </row>
    <row r="102" spans="12:17" x14ac:dyDescent="0.2">
      <c r="L102" s="66"/>
      <c r="M102" s="5"/>
      <c r="N102" s="5"/>
      <c r="O102" s="5"/>
      <c r="P102" s="67"/>
      <c r="Q102" s="5"/>
    </row>
    <row r="103" spans="12:17" s="5" customFormat="1" x14ac:dyDescent="0.2">
      <c r="L103" s="66"/>
      <c r="P103" s="67"/>
    </row>
    <row r="104" spans="12:17" s="5" customFormat="1" x14ac:dyDescent="0.2">
      <c r="L104" s="65"/>
      <c r="M104" s="1"/>
      <c r="N104" s="1"/>
      <c r="O104" s="1"/>
      <c r="P104" s="11"/>
      <c r="Q104" s="1"/>
    </row>
    <row r="105" spans="12:17" x14ac:dyDescent="0.2">
      <c r="L105" s="65"/>
    </row>
  </sheetData>
  <mergeCells count="56">
    <mergeCell ref="A27:B27"/>
    <mergeCell ref="A6:B6"/>
    <mergeCell ref="A1:V1"/>
    <mergeCell ref="A5:B5"/>
    <mergeCell ref="D73:G73"/>
    <mergeCell ref="M73:O73"/>
    <mergeCell ref="D74:G74"/>
    <mergeCell ref="A53:B53"/>
    <mergeCell ref="A38:B38"/>
    <mergeCell ref="A60:B60"/>
    <mergeCell ref="A67:B67"/>
    <mergeCell ref="A68:B68"/>
    <mergeCell ref="A69:V69"/>
    <mergeCell ref="C71:C72"/>
    <mergeCell ref="D71:G72"/>
    <mergeCell ref="H71:I71"/>
    <mergeCell ref="K71:K72"/>
    <mergeCell ref="L71:L72"/>
    <mergeCell ref="M71:O72"/>
    <mergeCell ref="P71:Q71"/>
    <mergeCell ref="M74:O74"/>
    <mergeCell ref="D76:G76"/>
    <mergeCell ref="M76:O76"/>
    <mergeCell ref="D77:G77"/>
    <mergeCell ref="M77:O77"/>
    <mergeCell ref="D75:G75"/>
    <mergeCell ref="M75:O75"/>
    <mergeCell ref="D78:G78"/>
    <mergeCell ref="M78:O78"/>
    <mergeCell ref="D79:G79"/>
    <mergeCell ref="M79:O79"/>
    <mergeCell ref="D80:G80"/>
    <mergeCell ref="M80:O80"/>
    <mergeCell ref="D81:G81"/>
    <mergeCell ref="M81:O81"/>
    <mergeCell ref="D82:G82"/>
    <mergeCell ref="M82:O82"/>
    <mergeCell ref="D83:G83"/>
    <mergeCell ref="M83:O83"/>
    <mergeCell ref="D84:G84"/>
    <mergeCell ref="M84:O84"/>
    <mergeCell ref="D85:G85"/>
    <mergeCell ref="M85:O85"/>
    <mergeCell ref="D86:G86"/>
    <mergeCell ref="M86:O86"/>
    <mergeCell ref="D87:G87"/>
    <mergeCell ref="M87:O87"/>
    <mergeCell ref="D91:G91"/>
    <mergeCell ref="M91:O91"/>
    <mergeCell ref="C92:G92"/>
    <mergeCell ref="D88:G88"/>
    <mergeCell ref="M88:O88"/>
    <mergeCell ref="D89:G89"/>
    <mergeCell ref="M89:O89"/>
    <mergeCell ref="D90:G90"/>
    <mergeCell ref="M90:O90"/>
  </mergeCells>
  <printOptions horizontalCentered="1"/>
  <pageMargins left="0.15748031496062992" right="0.15748031496062992" top="0.35433070866141736" bottom="0.27559055118110237" header="0.15748031496062992" footer="0.15748031496062992"/>
  <pageSetup paperSize="9" scale="94" fitToHeight="3" orientation="landscape" r:id="rId1"/>
  <headerFooter alignWithMargins="0">
    <oddFooter>&amp;C&amp;"Times New Roman,Regular"Trang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103"/>
  <sheetViews>
    <sheetView zoomScale="91" zoomScaleNormal="91" workbookViewId="0">
      <pane xSplit="2" ySplit="2" topLeftCell="C3" activePane="bottomRight" state="frozen"/>
      <selection pane="topRight" activeCell="C1" sqref="C1"/>
      <selection pane="bottomLeft" activeCell="A3" sqref="A3"/>
      <selection pane="bottomRight" activeCell="X2" sqref="X2"/>
    </sheetView>
  </sheetViews>
  <sheetFormatPr defaultRowHeight="12.75" x14ac:dyDescent="0.2"/>
  <cols>
    <col min="1" max="1" width="3.7109375" style="164" bestFit="1" customWidth="1"/>
    <col min="2" max="2" width="21.140625" style="164" customWidth="1"/>
    <col min="3" max="3" width="8.5703125" style="164" customWidth="1"/>
    <col min="4" max="4" width="7.85546875" style="164" customWidth="1"/>
    <col min="5" max="5" width="8.5703125" style="164" bestFit="1" customWidth="1"/>
    <col min="6" max="6" width="9" style="164" bestFit="1" customWidth="1"/>
    <col min="7" max="7" width="8.140625" style="164" customWidth="1"/>
    <col min="8" max="8" width="8.5703125" style="164" customWidth="1"/>
    <col min="9" max="9" width="8.28515625" style="164" customWidth="1"/>
    <col min="10" max="10" width="7.85546875" style="164" customWidth="1"/>
    <col min="11" max="11" width="7.85546875" style="164" bestFit="1" customWidth="1"/>
    <col min="12" max="12" width="9" style="164" customWidth="1"/>
    <col min="13" max="13" width="8.140625" style="164" bestFit="1" customWidth="1"/>
    <col min="14" max="14" width="8.42578125" style="164" customWidth="1"/>
    <col min="15" max="15" width="7.5703125" style="164" customWidth="1"/>
    <col min="16" max="16" width="8.5703125" style="164" bestFit="1" customWidth="1"/>
    <col min="17" max="17" width="10" style="164" bestFit="1" customWidth="1"/>
    <col min="18" max="18" width="8.140625" style="164" bestFit="1" customWidth="1"/>
    <col min="19" max="19" width="8.140625" style="164" customWidth="1"/>
    <col min="20" max="20" width="7.7109375" style="164" customWidth="1"/>
    <col min="21" max="21" width="8.85546875" style="164" bestFit="1" customWidth="1"/>
    <col min="22" max="22" width="9.140625" style="164" customWidth="1"/>
    <col min="23" max="23" width="9.140625" style="164"/>
    <col min="24" max="24" width="9.85546875" style="164" bestFit="1" customWidth="1"/>
    <col min="25" max="16384" width="9.140625" style="164"/>
  </cols>
  <sheetData>
    <row r="1" spans="1:22" ht="75" customHeight="1" x14ac:dyDescent="0.2">
      <c r="A1" s="288" t="s">
        <v>279</v>
      </c>
      <c r="B1" s="288"/>
      <c r="C1" s="288"/>
      <c r="D1" s="288"/>
      <c r="E1" s="288"/>
      <c r="F1" s="288"/>
      <c r="G1" s="288"/>
      <c r="H1" s="288"/>
      <c r="I1" s="288"/>
      <c r="J1" s="288"/>
      <c r="K1" s="288"/>
      <c r="L1" s="288"/>
      <c r="M1" s="288"/>
      <c r="N1" s="288"/>
      <c r="O1" s="288"/>
      <c r="P1" s="288"/>
      <c r="Q1" s="288"/>
      <c r="R1" s="288"/>
      <c r="S1" s="288"/>
      <c r="T1" s="288"/>
      <c r="U1" s="288"/>
      <c r="V1" s="288"/>
    </row>
    <row r="2" spans="1:22" s="183" customFormat="1" ht="105.75" customHeight="1" x14ac:dyDescent="0.2">
      <c r="A2" s="289" t="s">
        <v>76</v>
      </c>
      <c r="B2" s="291" t="s">
        <v>211</v>
      </c>
      <c r="C2" s="175" t="s">
        <v>0</v>
      </c>
      <c r="D2" s="175" t="s">
        <v>1</v>
      </c>
      <c r="E2" s="175" t="s">
        <v>2</v>
      </c>
      <c r="F2" s="168" t="s">
        <v>3</v>
      </c>
      <c r="G2" s="175" t="s">
        <v>4</v>
      </c>
      <c r="H2" s="175" t="s">
        <v>5</v>
      </c>
      <c r="I2" s="175" t="s">
        <v>101</v>
      </c>
      <c r="J2" s="175" t="s">
        <v>100</v>
      </c>
      <c r="K2" s="175" t="s">
        <v>6</v>
      </c>
      <c r="L2" s="175" t="s">
        <v>212</v>
      </c>
      <c r="M2" s="175" t="s">
        <v>8</v>
      </c>
      <c r="N2" s="175" t="s">
        <v>102</v>
      </c>
      <c r="O2" s="175" t="s">
        <v>141</v>
      </c>
      <c r="P2" s="175" t="s">
        <v>104</v>
      </c>
      <c r="Q2" s="175" t="s">
        <v>213</v>
      </c>
      <c r="R2" s="175" t="s">
        <v>10</v>
      </c>
      <c r="S2" s="175" t="s">
        <v>105</v>
      </c>
      <c r="T2" s="175" t="s">
        <v>190</v>
      </c>
      <c r="U2" s="175" t="s">
        <v>107</v>
      </c>
      <c r="V2" s="252" t="s">
        <v>270</v>
      </c>
    </row>
    <row r="3" spans="1:22" s="185" customFormat="1" ht="9.75" customHeight="1" x14ac:dyDescent="0.2">
      <c r="A3" s="290"/>
      <c r="B3" s="292"/>
      <c r="C3" s="184" t="s">
        <v>191</v>
      </c>
      <c r="D3" s="184" t="s">
        <v>192</v>
      </c>
      <c r="E3" s="184" t="s">
        <v>193</v>
      </c>
      <c r="F3" s="184" t="s">
        <v>194</v>
      </c>
      <c r="G3" s="184" t="s">
        <v>195</v>
      </c>
      <c r="H3" s="184" t="s">
        <v>196</v>
      </c>
      <c r="I3" s="184" t="s">
        <v>197</v>
      </c>
      <c r="J3" s="184" t="s">
        <v>198</v>
      </c>
      <c r="K3" s="184" t="s">
        <v>199</v>
      </c>
      <c r="L3" s="184" t="s">
        <v>200</v>
      </c>
      <c r="M3" s="184" t="s">
        <v>201</v>
      </c>
      <c r="N3" s="184" t="s">
        <v>202</v>
      </c>
      <c r="O3" s="184" t="s">
        <v>203</v>
      </c>
      <c r="P3" s="184" t="s">
        <v>204</v>
      </c>
      <c r="Q3" s="184" t="s">
        <v>205</v>
      </c>
      <c r="R3" s="184" t="s">
        <v>206</v>
      </c>
      <c r="S3" s="184" t="s">
        <v>207</v>
      </c>
      <c r="T3" s="184" t="s">
        <v>208</v>
      </c>
      <c r="U3" s="184" t="s">
        <v>209</v>
      </c>
      <c r="V3" s="184" t="s">
        <v>210</v>
      </c>
    </row>
    <row r="4" spans="1:22" s="174" customFormat="1" ht="13.5" customHeight="1" x14ac:dyDescent="0.2">
      <c r="A4" s="280" t="s">
        <v>13</v>
      </c>
      <c r="B4" s="281"/>
      <c r="C4" s="168">
        <f>COUNTIF(C5:C24,"x")</f>
        <v>20</v>
      </c>
      <c r="D4" s="168">
        <f t="shared" ref="D4:U4" si="0">COUNTIF(D5:D24,"x")</f>
        <v>20</v>
      </c>
      <c r="E4" s="168">
        <f t="shared" si="0"/>
        <v>20</v>
      </c>
      <c r="F4" s="168">
        <f t="shared" si="0"/>
        <v>20</v>
      </c>
      <c r="G4" s="168">
        <f t="shared" si="0"/>
        <v>20</v>
      </c>
      <c r="H4" s="168">
        <f t="shared" si="0"/>
        <v>20</v>
      </c>
      <c r="I4" s="168">
        <f t="shared" si="0"/>
        <v>20</v>
      </c>
      <c r="J4" s="168">
        <f t="shared" si="0"/>
        <v>20</v>
      </c>
      <c r="K4" s="168">
        <f t="shared" si="0"/>
        <v>20</v>
      </c>
      <c r="L4" s="168">
        <f t="shared" si="0"/>
        <v>20</v>
      </c>
      <c r="M4" s="168">
        <f t="shared" si="0"/>
        <v>20</v>
      </c>
      <c r="N4" s="168">
        <f t="shared" si="0"/>
        <v>20</v>
      </c>
      <c r="O4" s="168">
        <f t="shared" si="0"/>
        <v>20</v>
      </c>
      <c r="P4" s="168">
        <f t="shared" si="0"/>
        <v>20</v>
      </c>
      <c r="Q4" s="168">
        <f t="shared" si="0"/>
        <v>20</v>
      </c>
      <c r="R4" s="168">
        <f t="shared" si="0"/>
        <v>20</v>
      </c>
      <c r="S4" s="168">
        <f t="shared" si="0"/>
        <v>20</v>
      </c>
      <c r="T4" s="168">
        <f t="shared" si="0"/>
        <v>20</v>
      </c>
      <c r="U4" s="168">
        <f t="shared" si="0"/>
        <v>20</v>
      </c>
      <c r="V4" s="173">
        <f>AVERAGE(V5:V24)</f>
        <v>19</v>
      </c>
    </row>
    <row r="5" spans="1:22" ht="14.25" x14ac:dyDescent="0.2">
      <c r="A5" s="168">
        <v>1</v>
      </c>
      <c r="B5" s="169" t="s">
        <v>14</v>
      </c>
      <c r="C5" s="210" t="s">
        <v>132</v>
      </c>
      <c r="D5" s="210" t="s">
        <v>132</v>
      </c>
      <c r="E5" s="210" t="s">
        <v>132</v>
      </c>
      <c r="F5" s="210" t="s">
        <v>132</v>
      </c>
      <c r="G5" s="210" t="s">
        <v>132</v>
      </c>
      <c r="H5" s="210" t="s">
        <v>132</v>
      </c>
      <c r="I5" s="210" t="s">
        <v>132</v>
      </c>
      <c r="J5" s="210" t="s">
        <v>132</v>
      </c>
      <c r="K5" s="210" t="s">
        <v>132</v>
      </c>
      <c r="L5" s="210" t="s">
        <v>132</v>
      </c>
      <c r="M5" s="210" t="s">
        <v>132</v>
      </c>
      <c r="N5" s="210" t="s">
        <v>132</v>
      </c>
      <c r="O5" s="210" t="s">
        <v>132</v>
      </c>
      <c r="P5" s="210" t="s">
        <v>132</v>
      </c>
      <c r="Q5" s="210" t="s">
        <v>132</v>
      </c>
      <c r="R5" s="210" t="s">
        <v>132</v>
      </c>
      <c r="S5" s="210" t="s">
        <v>132</v>
      </c>
      <c r="T5" s="210" t="s">
        <v>132</v>
      </c>
      <c r="U5" s="210" t="s">
        <v>132</v>
      </c>
      <c r="V5" s="172">
        <f>COUNTIF(C5:U5,"x")</f>
        <v>19</v>
      </c>
    </row>
    <row r="6" spans="1:22" ht="14.25" x14ac:dyDescent="0.2">
      <c r="A6" s="168">
        <v>2</v>
      </c>
      <c r="B6" s="169" t="s">
        <v>25</v>
      </c>
      <c r="C6" s="210" t="s">
        <v>132</v>
      </c>
      <c r="D6" s="210" t="s">
        <v>132</v>
      </c>
      <c r="E6" s="210" t="s">
        <v>132</v>
      </c>
      <c r="F6" s="210" t="s">
        <v>132</v>
      </c>
      <c r="G6" s="210" t="s">
        <v>132</v>
      </c>
      <c r="H6" s="210" t="s">
        <v>132</v>
      </c>
      <c r="I6" s="210" t="s">
        <v>132</v>
      </c>
      <c r="J6" s="210" t="s">
        <v>132</v>
      </c>
      <c r="K6" s="210" t="s">
        <v>132</v>
      </c>
      <c r="L6" s="210" t="s">
        <v>132</v>
      </c>
      <c r="M6" s="210" t="s">
        <v>132</v>
      </c>
      <c r="N6" s="210" t="s">
        <v>132</v>
      </c>
      <c r="O6" s="210" t="s">
        <v>132</v>
      </c>
      <c r="P6" s="210" t="s">
        <v>132</v>
      </c>
      <c r="Q6" s="210" t="s">
        <v>132</v>
      </c>
      <c r="R6" s="210" t="s">
        <v>132</v>
      </c>
      <c r="S6" s="210" t="s">
        <v>132</v>
      </c>
      <c r="T6" s="210" t="s">
        <v>132</v>
      </c>
      <c r="U6" s="210" t="s">
        <v>132</v>
      </c>
      <c r="V6" s="172">
        <f t="shared" ref="V6:V24" si="1">COUNTIF(C6:U6,"x")</f>
        <v>19</v>
      </c>
    </row>
    <row r="7" spans="1:22" ht="14.25" x14ac:dyDescent="0.2">
      <c r="A7" s="168">
        <v>3</v>
      </c>
      <c r="B7" s="169" t="s">
        <v>22</v>
      </c>
      <c r="C7" s="210" t="s">
        <v>132</v>
      </c>
      <c r="D7" s="210" t="s">
        <v>132</v>
      </c>
      <c r="E7" s="210" t="s">
        <v>132</v>
      </c>
      <c r="F7" s="210" t="s">
        <v>132</v>
      </c>
      <c r="G7" s="210" t="s">
        <v>132</v>
      </c>
      <c r="H7" s="210" t="s">
        <v>132</v>
      </c>
      <c r="I7" s="210" t="s">
        <v>132</v>
      </c>
      <c r="J7" s="210" t="s">
        <v>132</v>
      </c>
      <c r="K7" s="210" t="s">
        <v>132</v>
      </c>
      <c r="L7" s="210" t="s">
        <v>132</v>
      </c>
      <c r="M7" s="210" t="s">
        <v>132</v>
      </c>
      <c r="N7" s="210" t="s">
        <v>132</v>
      </c>
      <c r="O7" s="210" t="s">
        <v>132</v>
      </c>
      <c r="P7" s="210" t="s">
        <v>132</v>
      </c>
      <c r="Q7" s="210" t="s">
        <v>132</v>
      </c>
      <c r="R7" s="210" t="s">
        <v>132</v>
      </c>
      <c r="S7" s="210" t="s">
        <v>132</v>
      </c>
      <c r="T7" s="210" t="s">
        <v>132</v>
      </c>
      <c r="U7" s="210" t="s">
        <v>132</v>
      </c>
      <c r="V7" s="172">
        <f t="shared" si="1"/>
        <v>19</v>
      </c>
    </row>
    <row r="8" spans="1:22" ht="14.25" x14ac:dyDescent="0.2">
      <c r="A8" s="168">
        <v>4</v>
      </c>
      <c r="B8" s="169" t="s">
        <v>26</v>
      </c>
      <c r="C8" s="210" t="s">
        <v>132</v>
      </c>
      <c r="D8" s="210" t="s">
        <v>132</v>
      </c>
      <c r="E8" s="210" t="s">
        <v>132</v>
      </c>
      <c r="F8" s="210" t="s">
        <v>132</v>
      </c>
      <c r="G8" s="210" t="s">
        <v>132</v>
      </c>
      <c r="H8" s="210" t="s">
        <v>132</v>
      </c>
      <c r="I8" s="210" t="s">
        <v>132</v>
      </c>
      <c r="J8" s="210" t="s">
        <v>132</v>
      </c>
      <c r="K8" s="210" t="s">
        <v>132</v>
      </c>
      <c r="L8" s="210" t="s">
        <v>132</v>
      </c>
      <c r="M8" s="210" t="s">
        <v>132</v>
      </c>
      <c r="N8" s="210" t="s">
        <v>132</v>
      </c>
      <c r="O8" s="210" t="s">
        <v>132</v>
      </c>
      <c r="P8" s="210" t="s">
        <v>132</v>
      </c>
      <c r="Q8" s="210" t="s">
        <v>132</v>
      </c>
      <c r="R8" s="210" t="s">
        <v>132</v>
      </c>
      <c r="S8" s="210" t="s">
        <v>132</v>
      </c>
      <c r="T8" s="210" t="s">
        <v>132</v>
      </c>
      <c r="U8" s="210" t="s">
        <v>132</v>
      </c>
      <c r="V8" s="172">
        <f t="shared" si="1"/>
        <v>19</v>
      </c>
    </row>
    <row r="9" spans="1:22" ht="14.25" x14ac:dyDescent="0.2">
      <c r="A9" s="168">
        <v>5</v>
      </c>
      <c r="B9" s="169" t="s">
        <v>29</v>
      </c>
      <c r="C9" s="210" t="s">
        <v>132</v>
      </c>
      <c r="D9" s="210" t="s">
        <v>132</v>
      </c>
      <c r="E9" s="210" t="s">
        <v>132</v>
      </c>
      <c r="F9" s="210" t="s">
        <v>132</v>
      </c>
      <c r="G9" s="210" t="s">
        <v>132</v>
      </c>
      <c r="H9" s="210" t="s">
        <v>132</v>
      </c>
      <c r="I9" s="210" t="s">
        <v>132</v>
      </c>
      <c r="J9" s="210" t="s">
        <v>132</v>
      </c>
      <c r="K9" s="210" t="s">
        <v>132</v>
      </c>
      <c r="L9" s="210" t="s">
        <v>132</v>
      </c>
      <c r="M9" s="210" t="s">
        <v>132</v>
      </c>
      <c r="N9" s="210" t="s">
        <v>132</v>
      </c>
      <c r="O9" s="210" t="s">
        <v>132</v>
      </c>
      <c r="P9" s="210" t="s">
        <v>132</v>
      </c>
      <c r="Q9" s="210" t="s">
        <v>132</v>
      </c>
      <c r="R9" s="210" t="s">
        <v>132</v>
      </c>
      <c r="S9" s="210" t="s">
        <v>132</v>
      </c>
      <c r="T9" s="210" t="s">
        <v>132</v>
      </c>
      <c r="U9" s="210" t="s">
        <v>132</v>
      </c>
      <c r="V9" s="172">
        <f t="shared" si="1"/>
        <v>19</v>
      </c>
    </row>
    <row r="10" spans="1:22" ht="14.25" x14ac:dyDescent="0.2">
      <c r="A10" s="168">
        <v>6</v>
      </c>
      <c r="B10" s="169" t="s">
        <v>32</v>
      </c>
      <c r="C10" s="210" t="s">
        <v>132</v>
      </c>
      <c r="D10" s="210" t="s">
        <v>132</v>
      </c>
      <c r="E10" s="210" t="s">
        <v>132</v>
      </c>
      <c r="F10" s="210" t="s">
        <v>132</v>
      </c>
      <c r="G10" s="210" t="s">
        <v>132</v>
      </c>
      <c r="H10" s="210" t="s">
        <v>132</v>
      </c>
      <c r="I10" s="210" t="s">
        <v>132</v>
      </c>
      <c r="J10" s="210" t="s">
        <v>132</v>
      </c>
      <c r="K10" s="210" t="s">
        <v>132</v>
      </c>
      <c r="L10" s="210" t="s">
        <v>132</v>
      </c>
      <c r="M10" s="210" t="s">
        <v>132</v>
      </c>
      <c r="N10" s="210" t="s">
        <v>132</v>
      </c>
      <c r="O10" s="210" t="s">
        <v>132</v>
      </c>
      <c r="P10" s="210" t="s">
        <v>132</v>
      </c>
      <c r="Q10" s="210" t="s">
        <v>132</v>
      </c>
      <c r="R10" s="210" t="s">
        <v>132</v>
      </c>
      <c r="S10" s="210" t="s">
        <v>132</v>
      </c>
      <c r="T10" s="210" t="s">
        <v>132</v>
      </c>
      <c r="U10" s="210" t="s">
        <v>132</v>
      </c>
      <c r="V10" s="172">
        <f t="shared" si="1"/>
        <v>19</v>
      </c>
    </row>
    <row r="11" spans="1:22" ht="14.25" x14ac:dyDescent="0.2">
      <c r="A11" s="168">
        <v>7</v>
      </c>
      <c r="B11" s="169" t="s">
        <v>19</v>
      </c>
      <c r="C11" s="210" t="s">
        <v>132</v>
      </c>
      <c r="D11" s="210" t="s">
        <v>132</v>
      </c>
      <c r="E11" s="210" t="s">
        <v>132</v>
      </c>
      <c r="F11" s="210" t="s">
        <v>132</v>
      </c>
      <c r="G11" s="210" t="s">
        <v>132</v>
      </c>
      <c r="H11" s="210" t="s">
        <v>132</v>
      </c>
      <c r="I11" s="210" t="s">
        <v>132</v>
      </c>
      <c r="J11" s="210" t="s">
        <v>132</v>
      </c>
      <c r="K11" s="210" t="s">
        <v>132</v>
      </c>
      <c r="L11" s="210" t="s">
        <v>132</v>
      </c>
      <c r="M11" s="210" t="s">
        <v>132</v>
      </c>
      <c r="N11" s="210" t="s">
        <v>132</v>
      </c>
      <c r="O11" s="210" t="s">
        <v>132</v>
      </c>
      <c r="P11" s="210" t="s">
        <v>132</v>
      </c>
      <c r="Q11" s="210" t="s">
        <v>132</v>
      </c>
      <c r="R11" s="210" t="s">
        <v>132</v>
      </c>
      <c r="S11" s="210" t="s">
        <v>132</v>
      </c>
      <c r="T11" s="210" t="s">
        <v>132</v>
      </c>
      <c r="U11" s="210" t="s">
        <v>132</v>
      </c>
      <c r="V11" s="172">
        <f t="shared" si="1"/>
        <v>19</v>
      </c>
    </row>
    <row r="12" spans="1:22" ht="14.25" x14ac:dyDescent="0.2">
      <c r="A12" s="168">
        <v>8</v>
      </c>
      <c r="B12" s="169" t="s">
        <v>17</v>
      </c>
      <c r="C12" s="210" t="s">
        <v>132</v>
      </c>
      <c r="D12" s="210" t="s">
        <v>132</v>
      </c>
      <c r="E12" s="210" t="s">
        <v>132</v>
      </c>
      <c r="F12" s="210" t="s">
        <v>132</v>
      </c>
      <c r="G12" s="210" t="s">
        <v>132</v>
      </c>
      <c r="H12" s="210" t="s">
        <v>132</v>
      </c>
      <c r="I12" s="210" t="s">
        <v>132</v>
      </c>
      <c r="J12" s="210" t="s">
        <v>132</v>
      </c>
      <c r="K12" s="210" t="s">
        <v>132</v>
      </c>
      <c r="L12" s="210" t="s">
        <v>132</v>
      </c>
      <c r="M12" s="210" t="s">
        <v>132</v>
      </c>
      <c r="N12" s="210" t="s">
        <v>132</v>
      </c>
      <c r="O12" s="210" t="s">
        <v>132</v>
      </c>
      <c r="P12" s="210" t="s">
        <v>132</v>
      </c>
      <c r="Q12" s="210" t="s">
        <v>132</v>
      </c>
      <c r="R12" s="210" t="s">
        <v>132</v>
      </c>
      <c r="S12" s="210" t="s">
        <v>132</v>
      </c>
      <c r="T12" s="210" t="s">
        <v>132</v>
      </c>
      <c r="U12" s="210" t="s">
        <v>132</v>
      </c>
      <c r="V12" s="172">
        <f t="shared" si="1"/>
        <v>19</v>
      </c>
    </row>
    <row r="13" spans="1:22" ht="14.25" x14ac:dyDescent="0.2">
      <c r="A13" s="168">
        <v>9</v>
      </c>
      <c r="B13" s="169" t="s">
        <v>30</v>
      </c>
      <c r="C13" s="210" t="s">
        <v>132</v>
      </c>
      <c r="D13" s="210" t="s">
        <v>132</v>
      </c>
      <c r="E13" s="210" t="s">
        <v>132</v>
      </c>
      <c r="F13" s="210" t="s">
        <v>132</v>
      </c>
      <c r="G13" s="210" t="s">
        <v>132</v>
      </c>
      <c r="H13" s="210" t="s">
        <v>132</v>
      </c>
      <c r="I13" s="210" t="s">
        <v>132</v>
      </c>
      <c r="J13" s="210" t="s">
        <v>132</v>
      </c>
      <c r="K13" s="210" t="s">
        <v>132</v>
      </c>
      <c r="L13" s="210" t="s">
        <v>132</v>
      </c>
      <c r="M13" s="210" t="s">
        <v>132</v>
      </c>
      <c r="N13" s="210" t="s">
        <v>132</v>
      </c>
      <c r="O13" s="210" t="s">
        <v>132</v>
      </c>
      <c r="P13" s="210" t="s">
        <v>132</v>
      </c>
      <c r="Q13" s="210" t="s">
        <v>132</v>
      </c>
      <c r="R13" s="210" t="s">
        <v>132</v>
      </c>
      <c r="S13" s="210" t="s">
        <v>132</v>
      </c>
      <c r="T13" s="210" t="s">
        <v>132</v>
      </c>
      <c r="U13" s="210" t="s">
        <v>132</v>
      </c>
      <c r="V13" s="172">
        <f t="shared" si="1"/>
        <v>19</v>
      </c>
    </row>
    <row r="14" spans="1:22" ht="14.25" x14ac:dyDescent="0.2">
      <c r="A14" s="168">
        <v>10</v>
      </c>
      <c r="B14" s="169" t="s">
        <v>28</v>
      </c>
      <c r="C14" s="210" t="s">
        <v>132</v>
      </c>
      <c r="D14" s="210" t="s">
        <v>132</v>
      </c>
      <c r="E14" s="210" t="s">
        <v>132</v>
      </c>
      <c r="F14" s="210" t="s">
        <v>132</v>
      </c>
      <c r="G14" s="210" t="s">
        <v>132</v>
      </c>
      <c r="H14" s="210" t="s">
        <v>132</v>
      </c>
      <c r="I14" s="210" t="s">
        <v>132</v>
      </c>
      <c r="J14" s="210" t="s">
        <v>132</v>
      </c>
      <c r="K14" s="210" t="s">
        <v>132</v>
      </c>
      <c r="L14" s="210" t="s">
        <v>132</v>
      </c>
      <c r="M14" s="210" t="s">
        <v>132</v>
      </c>
      <c r="N14" s="210" t="s">
        <v>132</v>
      </c>
      <c r="O14" s="210" t="s">
        <v>132</v>
      </c>
      <c r="P14" s="210" t="s">
        <v>132</v>
      </c>
      <c r="Q14" s="210" t="s">
        <v>132</v>
      </c>
      <c r="R14" s="210" t="s">
        <v>132</v>
      </c>
      <c r="S14" s="210" t="s">
        <v>132</v>
      </c>
      <c r="T14" s="210" t="s">
        <v>132</v>
      </c>
      <c r="U14" s="210" t="s">
        <v>132</v>
      </c>
      <c r="V14" s="172">
        <f t="shared" si="1"/>
        <v>19</v>
      </c>
    </row>
    <row r="15" spans="1:22" ht="14.25" x14ac:dyDescent="0.2">
      <c r="A15" s="168">
        <v>11</v>
      </c>
      <c r="B15" s="169" t="s">
        <v>33</v>
      </c>
      <c r="C15" s="210" t="s">
        <v>132</v>
      </c>
      <c r="D15" s="210" t="s">
        <v>132</v>
      </c>
      <c r="E15" s="210" t="s">
        <v>132</v>
      </c>
      <c r="F15" s="210" t="s">
        <v>132</v>
      </c>
      <c r="G15" s="210" t="s">
        <v>132</v>
      </c>
      <c r="H15" s="210" t="s">
        <v>132</v>
      </c>
      <c r="I15" s="210" t="s">
        <v>132</v>
      </c>
      <c r="J15" s="210" t="s">
        <v>132</v>
      </c>
      <c r="K15" s="210" t="s">
        <v>132</v>
      </c>
      <c r="L15" s="210" t="s">
        <v>132</v>
      </c>
      <c r="M15" s="210" t="s">
        <v>132</v>
      </c>
      <c r="N15" s="210" t="s">
        <v>132</v>
      </c>
      <c r="O15" s="210" t="s">
        <v>132</v>
      </c>
      <c r="P15" s="210" t="s">
        <v>132</v>
      </c>
      <c r="Q15" s="210" t="s">
        <v>132</v>
      </c>
      <c r="R15" s="210" t="s">
        <v>132</v>
      </c>
      <c r="S15" s="210" t="s">
        <v>132</v>
      </c>
      <c r="T15" s="210" t="s">
        <v>132</v>
      </c>
      <c r="U15" s="210" t="s">
        <v>132</v>
      </c>
      <c r="V15" s="172">
        <f t="shared" si="1"/>
        <v>19</v>
      </c>
    </row>
    <row r="16" spans="1:22" ht="14.25" x14ac:dyDescent="0.2">
      <c r="A16" s="168">
        <v>12</v>
      </c>
      <c r="B16" s="169" t="s">
        <v>18</v>
      </c>
      <c r="C16" s="210" t="s">
        <v>132</v>
      </c>
      <c r="D16" s="210" t="s">
        <v>132</v>
      </c>
      <c r="E16" s="210" t="s">
        <v>132</v>
      </c>
      <c r="F16" s="210" t="s">
        <v>132</v>
      </c>
      <c r="G16" s="210" t="s">
        <v>132</v>
      </c>
      <c r="H16" s="210" t="s">
        <v>132</v>
      </c>
      <c r="I16" s="210" t="s">
        <v>132</v>
      </c>
      <c r="J16" s="210" t="s">
        <v>132</v>
      </c>
      <c r="K16" s="210" t="s">
        <v>132</v>
      </c>
      <c r="L16" s="210" t="s">
        <v>132</v>
      </c>
      <c r="M16" s="210" t="s">
        <v>132</v>
      </c>
      <c r="N16" s="210" t="s">
        <v>132</v>
      </c>
      <c r="O16" s="210" t="s">
        <v>132</v>
      </c>
      <c r="P16" s="210" t="s">
        <v>132</v>
      </c>
      <c r="Q16" s="210" t="s">
        <v>132</v>
      </c>
      <c r="R16" s="210" t="s">
        <v>132</v>
      </c>
      <c r="S16" s="210" t="s">
        <v>132</v>
      </c>
      <c r="T16" s="210" t="s">
        <v>132</v>
      </c>
      <c r="U16" s="210" t="s">
        <v>132</v>
      </c>
      <c r="V16" s="172">
        <f t="shared" si="1"/>
        <v>19</v>
      </c>
    </row>
    <row r="17" spans="1:22" ht="14.25" x14ac:dyDescent="0.2">
      <c r="A17" s="168">
        <v>13</v>
      </c>
      <c r="B17" s="169" t="s">
        <v>31</v>
      </c>
      <c r="C17" s="210" t="s">
        <v>132</v>
      </c>
      <c r="D17" s="210" t="s">
        <v>132</v>
      </c>
      <c r="E17" s="210" t="s">
        <v>132</v>
      </c>
      <c r="F17" s="210" t="s">
        <v>132</v>
      </c>
      <c r="G17" s="210" t="s">
        <v>132</v>
      </c>
      <c r="H17" s="210" t="s">
        <v>132</v>
      </c>
      <c r="I17" s="210" t="s">
        <v>132</v>
      </c>
      <c r="J17" s="210" t="s">
        <v>132</v>
      </c>
      <c r="K17" s="210" t="s">
        <v>132</v>
      </c>
      <c r="L17" s="210" t="s">
        <v>132</v>
      </c>
      <c r="M17" s="210" t="s">
        <v>132</v>
      </c>
      <c r="N17" s="210" t="s">
        <v>132</v>
      </c>
      <c r="O17" s="210" t="s">
        <v>132</v>
      </c>
      <c r="P17" s="210" t="s">
        <v>132</v>
      </c>
      <c r="Q17" s="210" t="s">
        <v>132</v>
      </c>
      <c r="R17" s="210" t="s">
        <v>132</v>
      </c>
      <c r="S17" s="210" t="s">
        <v>132</v>
      </c>
      <c r="T17" s="210" t="s">
        <v>132</v>
      </c>
      <c r="U17" s="210" t="s">
        <v>132</v>
      </c>
      <c r="V17" s="172">
        <f t="shared" si="1"/>
        <v>19</v>
      </c>
    </row>
    <row r="18" spans="1:22" ht="14.25" x14ac:dyDescent="0.2">
      <c r="A18" s="168">
        <v>14</v>
      </c>
      <c r="B18" s="169" t="s">
        <v>20</v>
      </c>
      <c r="C18" s="210" t="s">
        <v>132</v>
      </c>
      <c r="D18" s="210" t="s">
        <v>132</v>
      </c>
      <c r="E18" s="210" t="s">
        <v>132</v>
      </c>
      <c r="F18" s="210" t="s">
        <v>132</v>
      </c>
      <c r="G18" s="210" t="s">
        <v>132</v>
      </c>
      <c r="H18" s="210" t="s">
        <v>132</v>
      </c>
      <c r="I18" s="210" t="s">
        <v>132</v>
      </c>
      <c r="J18" s="210" t="s">
        <v>132</v>
      </c>
      <c r="K18" s="210" t="s">
        <v>132</v>
      </c>
      <c r="L18" s="210" t="s">
        <v>132</v>
      </c>
      <c r="M18" s="210" t="s">
        <v>132</v>
      </c>
      <c r="N18" s="210" t="s">
        <v>132</v>
      </c>
      <c r="O18" s="210" t="s">
        <v>132</v>
      </c>
      <c r="P18" s="210" t="s">
        <v>132</v>
      </c>
      <c r="Q18" s="210" t="s">
        <v>132</v>
      </c>
      <c r="R18" s="210" t="s">
        <v>132</v>
      </c>
      <c r="S18" s="210" t="s">
        <v>132</v>
      </c>
      <c r="T18" s="210" t="s">
        <v>132</v>
      </c>
      <c r="U18" s="210" t="s">
        <v>132</v>
      </c>
      <c r="V18" s="172">
        <f t="shared" si="1"/>
        <v>19</v>
      </c>
    </row>
    <row r="19" spans="1:22" ht="14.25" x14ac:dyDescent="0.2">
      <c r="A19" s="168">
        <v>15</v>
      </c>
      <c r="B19" s="169" t="s">
        <v>21</v>
      </c>
      <c r="C19" s="210" t="s">
        <v>132</v>
      </c>
      <c r="D19" s="210" t="s">
        <v>132</v>
      </c>
      <c r="E19" s="210" t="s">
        <v>132</v>
      </c>
      <c r="F19" s="210" t="s">
        <v>132</v>
      </c>
      <c r="G19" s="210" t="s">
        <v>132</v>
      </c>
      <c r="H19" s="210" t="s">
        <v>132</v>
      </c>
      <c r="I19" s="210" t="s">
        <v>132</v>
      </c>
      <c r="J19" s="210" t="s">
        <v>132</v>
      </c>
      <c r="K19" s="210" t="s">
        <v>132</v>
      </c>
      <c r="L19" s="210" t="s">
        <v>132</v>
      </c>
      <c r="M19" s="210" t="s">
        <v>132</v>
      </c>
      <c r="N19" s="210" t="s">
        <v>132</v>
      </c>
      <c r="O19" s="210" t="s">
        <v>132</v>
      </c>
      <c r="P19" s="210" t="s">
        <v>132</v>
      </c>
      <c r="Q19" s="210" t="s">
        <v>132</v>
      </c>
      <c r="R19" s="210" t="s">
        <v>132</v>
      </c>
      <c r="S19" s="210" t="s">
        <v>132</v>
      </c>
      <c r="T19" s="210" t="s">
        <v>132</v>
      </c>
      <c r="U19" s="210" t="s">
        <v>132</v>
      </c>
      <c r="V19" s="172">
        <f t="shared" si="1"/>
        <v>19</v>
      </c>
    </row>
    <row r="20" spans="1:22" ht="14.25" x14ac:dyDescent="0.2">
      <c r="A20" s="168">
        <v>16</v>
      </c>
      <c r="B20" s="169" t="s">
        <v>23</v>
      </c>
      <c r="C20" s="210" t="s">
        <v>132</v>
      </c>
      <c r="D20" s="210" t="s">
        <v>132</v>
      </c>
      <c r="E20" s="210" t="s">
        <v>132</v>
      </c>
      <c r="F20" s="210" t="s">
        <v>132</v>
      </c>
      <c r="G20" s="210" t="s">
        <v>132</v>
      </c>
      <c r="H20" s="210" t="s">
        <v>132</v>
      </c>
      <c r="I20" s="210" t="s">
        <v>132</v>
      </c>
      <c r="J20" s="210" t="s">
        <v>132</v>
      </c>
      <c r="K20" s="210" t="s">
        <v>132</v>
      </c>
      <c r="L20" s="210" t="s">
        <v>132</v>
      </c>
      <c r="M20" s="210" t="s">
        <v>132</v>
      </c>
      <c r="N20" s="210" t="s">
        <v>132</v>
      </c>
      <c r="O20" s="210" t="s">
        <v>132</v>
      </c>
      <c r="P20" s="210" t="s">
        <v>132</v>
      </c>
      <c r="Q20" s="210" t="s">
        <v>132</v>
      </c>
      <c r="R20" s="210" t="s">
        <v>132</v>
      </c>
      <c r="S20" s="210" t="s">
        <v>132</v>
      </c>
      <c r="T20" s="210" t="s">
        <v>132</v>
      </c>
      <c r="U20" s="210" t="s">
        <v>132</v>
      </c>
      <c r="V20" s="172">
        <f t="shared" si="1"/>
        <v>19</v>
      </c>
    </row>
    <row r="21" spans="1:22" ht="14.25" x14ac:dyDescent="0.2">
      <c r="A21" s="168">
        <v>17</v>
      </c>
      <c r="B21" s="169" t="s">
        <v>16</v>
      </c>
      <c r="C21" s="210" t="s">
        <v>132</v>
      </c>
      <c r="D21" s="210" t="s">
        <v>132</v>
      </c>
      <c r="E21" s="210" t="s">
        <v>132</v>
      </c>
      <c r="F21" s="210" t="s">
        <v>132</v>
      </c>
      <c r="G21" s="210" t="s">
        <v>132</v>
      </c>
      <c r="H21" s="210" t="s">
        <v>132</v>
      </c>
      <c r="I21" s="210" t="s">
        <v>132</v>
      </c>
      <c r="J21" s="210" t="s">
        <v>132</v>
      </c>
      <c r="K21" s="210" t="s">
        <v>132</v>
      </c>
      <c r="L21" s="210" t="s">
        <v>132</v>
      </c>
      <c r="M21" s="210" t="s">
        <v>132</v>
      </c>
      <c r="N21" s="210" t="s">
        <v>132</v>
      </c>
      <c r="O21" s="210" t="s">
        <v>132</v>
      </c>
      <c r="P21" s="210" t="s">
        <v>132</v>
      </c>
      <c r="Q21" s="210" t="s">
        <v>132</v>
      </c>
      <c r="R21" s="210" t="s">
        <v>132</v>
      </c>
      <c r="S21" s="210" t="s">
        <v>132</v>
      </c>
      <c r="T21" s="210" t="s">
        <v>132</v>
      </c>
      <c r="U21" s="210" t="s">
        <v>132</v>
      </c>
      <c r="V21" s="172">
        <f t="shared" si="1"/>
        <v>19</v>
      </c>
    </row>
    <row r="22" spans="1:22" ht="14.25" x14ac:dyDescent="0.2">
      <c r="A22" s="168">
        <v>18</v>
      </c>
      <c r="B22" s="169" t="s">
        <v>24</v>
      </c>
      <c r="C22" s="210" t="s">
        <v>132</v>
      </c>
      <c r="D22" s="210" t="s">
        <v>132</v>
      </c>
      <c r="E22" s="210" t="s">
        <v>132</v>
      </c>
      <c r="F22" s="210" t="s">
        <v>132</v>
      </c>
      <c r="G22" s="210" t="s">
        <v>132</v>
      </c>
      <c r="H22" s="210" t="s">
        <v>132</v>
      </c>
      <c r="I22" s="210" t="s">
        <v>132</v>
      </c>
      <c r="J22" s="210" t="s">
        <v>132</v>
      </c>
      <c r="K22" s="210" t="s">
        <v>132</v>
      </c>
      <c r="L22" s="210" t="s">
        <v>132</v>
      </c>
      <c r="M22" s="210" t="s">
        <v>132</v>
      </c>
      <c r="N22" s="210" t="s">
        <v>132</v>
      </c>
      <c r="O22" s="210" t="s">
        <v>132</v>
      </c>
      <c r="P22" s="210" t="s">
        <v>132</v>
      </c>
      <c r="Q22" s="210" t="s">
        <v>132</v>
      </c>
      <c r="R22" s="210" t="s">
        <v>132</v>
      </c>
      <c r="S22" s="210" t="s">
        <v>132</v>
      </c>
      <c r="T22" s="210" t="s">
        <v>132</v>
      </c>
      <c r="U22" s="210" t="s">
        <v>132</v>
      </c>
      <c r="V22" s="172">
        <f t="shared" si="1"/>
        <v>19</v>
      </c>
    </row>
    <row r="23" spans="1:22" ht="14.25" x14ac:dyDescent="0.2">
      <c r="A23" s="168">
        <v>19</v>
      </c>
      <c r="B23" s="169" t="s">
        <v>27</v>
      </c>
      <c r="C23" s="210" t="s">
        <v>132</v>
      </c>
      <c r="D23" s="210" t="s">
        <v>132</v>
      </c>
      <c r="E23" s="210" t="s">
        <v>132</v>
      </c>
      <c r="F23" s="210" t="s">
        <v>132</v>
      </c>
      <c r="G23" s="210" t="s">
        <v>132</v>
      </c>
      <c r="H23" s="210" t="s">
        <v>132</v>
      </c>
      <c r="I23" s="210" t="s">
        <v>132</v>
      </c>
      <c r="J23" s="210" t="s">
        <v>132</v>
      </c>
      <c r="K23" s="210" t="s">
        <v>132</v>
      </c>
      <c r="L23" s="210" t="s">
        <v>132</v>
      </c>
      <c r="M23" s="210" t="s">
        <v>132</v>
      </c>
      <c r="N23" s="210" t="s">
        <v>132</v>
      </c>
      <c r="O23" s="210" t="s">
        <v>132</v>
      </c>
      <c r="P23" s="210" t="s">
        <v>132</v>
      </c>
      <c r="Q23" s="210" t="s">
        <v>132</v>
      </c>
      <c r="R23" s="210" t="s">
        <v>132</v>
      </c>
      <c r="S23" s="210" t="s">
        <v>132</v>
      </c>
      <c r="T23" s="210" t="s">
        <v>132</v>
      </c>
      <c r="U23" s="210" t="s">
        <v>132</v>
      </c>
      <c r="V23" s="172">
        <f t="shared" si="1"/>
        <v>19</v>
      </c>
    </row>
    <row r="24" spans="1:22" ht="14.25" x14ac:dyDescent="0.2">
      <c r="A24" s="168">
        <v>20</v>
      </c>
      <c r="B24" s="169" t="s">
        <v>15</v>
      </c>
      <c r="C24" s="210" t="s">
        <v>132</v>
      </c>
      <c r="D24" s="210" t="s">
        <v>132</v>
      </c>
      <c r="E24" s="210" t="s">
        <v>132</v>
      </c>
      <c r="F24" s="210" t="s">
        <v>132</v>
      </c>
      <c r="G24" s="210" t="s">
        <v>132</v>
      </c>
      <c r="H24" s="210" t="s">
        <v>132</v>
      </c>
      <c r="I24" s="210" t="s">
        <v>132</v>
      </c>
      <c r="J24" s="210" t="s">
        <v>132</v>
      </c>
      <c r="K24" s="210" t="s">
        <v>132</v>
      </c>
      <c r="L24" s="210" t="s">
        <v>132</v>
      </c>
      <c r="M24" s="210" t="s">
        <v>132</v>
      </c>
      <c r="N24" s="210" t="s">
        <v>132</v>
      </c>
      <c r="O24" s="210" t="s">
        <v>132</v>
      </c>
      <c r="P24" s="210" t="s">
        <v>132</v>
      </c>
      <c r="Q24" s="210" t="s">
        <v>132</v>
      </c>
      <c r="R24" s="210" t="s">
        <v>132</v>
      </c>
      <c r="S24" s="210" t="s">
        <v>132</v>
      </c>
      <c r="T24" s="210" t="s">
        <v>132</v>
      </c>
      <c r="U24" s="210" t="s">
        <v>132</v>
      </c>
      <c r="V24" s="172">
        <f t="shared" si="1"/>
        <v>19</v>
      </c>
    </row>
    <row r="25" spans="1:22" s="174" customFormat="1" ht="14.25" x14ac:dyDescent="0.2">
      <c r="A25" s="280" t="s">
        <v>34</v>
      </c>
      <c r="B25" s="281"/>
      <c r="C25" s="168">
        <f>COUNTIF(C26:C35,"x")</f>
        <v>10</v>
      </c>
      <c r="D25" s="168">
        <f t="shared" ref="D25:U25" si="2">COUNTIF(D26:D35,"x")</f>
        <v>10</v>
      </c>
      <c r="E25" s="168">
        <f t="shared" si="2"/>
        <v>10</v>
      </c>
      <c r="F25" s="168">
        <f t="shared" si="2"/>
        <v>10</v>
      </c>
      <c r="G25" s="168">
        <f t="shared" si="2"/>
        <v>10</v>
      </c>
      <c r="H25" s="168">
        <f t="shared" si="2"/>
        <v>10</v>
      </c>
      <c r="I25" s="168">
        <f t="shared" si="2"/>
        <v>10</v>
      </c>
      <c r="J25" s="168">
        <f t="shared" si="2"/>
        <v>10</v>
      </c>
      <c r="K25" s="168">
        <f t="shared" si="2"/>
        <v>10</v>
      </c>
      <c r="L25" s="168">
        <f t="shared" si="2"/>
        <v>10</v>
      </c>
      <c r="M25" s="168">
        <f t="shared" si="2"/>
        <v>10</v>
      </c>
      <c r="N25" s="168">
        <f t="shared" si="2"/>
        <v>10</v>
      </c>
      <c r="O25" s="168">
        <f t="shared" si="2"/>
        <v>10</v>
      </c>
      <c r="P25" s="168">
        <f t="shared" si="2"/>
        <v>10</v>
      </c>
      <c r="Q25" s="168">
        <f t="shared" si="2"/>
        <v>10</v>
      </c>
      <c r="R25" s="168">
        <f t="shared" si="2"/>
        <v>10</v>
      </c>
      <c r="S25" s="168">
        <f t="shared" si="2"/>
        <v>10</v>
      </c>
      <c r="T25" s="168">
        <f t="shared" si="2"/>
        <v>6</v>
      </c>
      <c r="U25" s="168">
        <f t="shared" si="2"/>
        <v>10</v>
      </c>
      <c r="V25" s="258">
        <f>AVERAGE(V26:V35)</f>
        <v>18.600000000000001</v>
      </c>
    </row>
    <row r="26" spans="1:22" ht="14.25" x14ac:dyDescent="0.2">
      <c r="A26" s="168">
        <v>1</v>
      </c>
      <c r="B26" s="171" t="s">
        <v>41</v>
      </c>
      <c r="C26" s="253" t="s">
        <v>132</v>
      </c>
      <c r="D26" s="253" t="s">
        <v>132</v>
      </c>
      <c r="E26" s="253" t="s">
        <v>132</v>
      </c>
      <c r="F26" s="253" t="s">
        <v>132</v>
      </c>
      <c r="G26" s="242" t="s">
        <v>132</v>
      </c>
      <c r="H26" s="253" t="s">
        <v>132</v>
      </c>
      <c r="I26" s="253" t="s">
        <v>132</v>
      </c>
      <c r="J26" s="253" t="s">
        <v>132</v>
      </c>
      <c r="K26" s="253" t="s">
        <v>132</v>
      </c>
      <c r="L26" s="253" t="s">
        <v>132</v>
      </c>
      <c r="M26" s="253" t="s">
        <v>132</v>
      </c>
      <c r="N26" s="253" t="s">
        <v>132</v>
      </c>
      <c r="O26" s="253" t="s">
        <v>132</v>
      </c>
      <c r="P26" s="253" t="s">
        <v>132</v>
      </c>
      <c r="Q26" s="49" t="s">
        <v>132</v>
      </c>
      <c r="R26" s="253" t="s">
        <v>132</v>
      </c>
      <c r="S26" s="253" t="s">
        <v>132</v>
      </c>
      <c r="T26" s="253"/>
      <c r="U26" s="253" t="s">
        <v>132</v>
      </c>
      <c r="V26" s="168">
        <v>18</v>
      </c>
    </row>
    <row r="27" spans="1:22" ht="14.25" x14ac:dyDescent="0.2">
      <c r="A27" s="168">
        <v>2</v>
      </c>
      <c r="B27" s="171" t="s">
        <v>39</v>
      </c>
      <c r="C27" s="253" t="s">
        <v>132</v>
      </c>
      <c r="D27" s="253" t="s">
        <v>132</v>
      </c>
      <c r="E27" s="253" t="s">
        <v>132</v>
      </c>
      <c r="F27" s="253" t="s">
        <v>132</v>
      </c>
      <c r="G27" s="253" t="s">
        <v>132</v>
      </c>
      <c r="H27" s="253" t="s">
        <v>132</v>
      </c>
      <c r="I27" s="253" t="s">
        <v>132</v>
      </c>
      <c r="J27" s="253" t="s">
        <v>132</v>
      </c>
      <c r="K27" s="253" t="s">
        <v>132</v>
      </c>
      <c r="L27" s="253" t="s">
        <v>132</v>
      </c>
      <c r="M27" s="253" t="s">
        <v>132</v>
      </c>
      <c r="N27" s="253" t="s">
        <v>132</v>
      </c>
      <c r="O27" s="253" t="s">
        <v>132</v>
      </c>
      <c r="P27" s="253" t="s">
        <v>132</v>
      </c>
      <c r="Q27" s="253" t="s">
        <v>132</v>
      </c>
      <c r="R27" s="253" t="s">
        <v>132</v>
      </c>
      <c r="S27" s="70" t="s">
        <v>132</v>
      </c>
      <c r="T27" s="253" t="s">
        <v>132</v>
      </c>
      <c r="U27" s="253" t="s">
        <v>132</v>
      </c>
      <c r="V27" s="168">
        <v>19</v>
      </c>
    </row>
    <row r="28" spans="1:22" ht="14.25" x14ac:dyDescent="0.2">
      <c r="A28" s="168">
        <v>3</v>
      </c>
      <c r="B28" s="171" t="s">
        <v>36</v>
      </c>
      <c r="C28" s="253" t="s">
        <v>132</v>
      </c>
      <c r="D28" s="253" t="s">
        <v>132</v>
      </c>
      <c r="E28" s="253" t="s">
        <v>132</v>
      </c>
      <c r="F28" s="253" t="s">
        <v>132</v>
      </c>
      <c r="G28" s="253" t="s">
        <v>132</v>
      </c>
      <c r="H28" s="253" t="s">
        <v>132</v>
      </c>
      <c r="I28" s="253" t="s">
        <v>132</v>
      </c>
      <c r="J28" s="253" t="s">
        <v>132</v>
      </c>
      <c r="K28" s="253" t="s">
        <v>132</v>
      </c>
      <c r="L28" s="253" t="s">
        <v>132</v>
      </c>
      <c r="M28" s="253" t="s">
        <v>132</v>
      </c>
      <c r="N28" s="253" t="s">
        <v>132</v>
      </c>
      <c r="O28" s="253" t="s">
        <v>132</v>
      </c>
      <c r="P28" s="253" t="s">
        <v>132</v>
      </c>
      <c r="Q28" s="241" t="s">
        <v>132</v>
      </c>
      <c r="R28" s="253" t="s">
        <v>132</v>
      </c>
      <c r="S28" s="70" t="s">
        <v>132</v>
      </c>
      <c r="T28" s="253"/>
      <c r="U28" s="253" t="s">
        <v>132</v>
      </c>
      <c r="V28" s="168">
        <v>18</v>
      </c>
    </row>
    <row r="29" spans="1:22" ht="14.25" x14ac:dyDescent="0.2">
      <c r="A29" s="168">
        <v>4</v>
      </c>
      <c r="B29" s="171" t="s">
        <v>40</v>
      </c>
      <c r="C29" s="253" t="s">
        <v>132</v>
      </c>
      <c r="D29" s="253" t="s">
        <v>132</v>
      </c>
      <c r="E29" s="253" t="s">
        <v>132</v>
      </c>
      <c r="F29" s="253" t="s">
        <v>132</v>
      </c>
      <c r="G29" s="253" t="s">
        <v>132</v>
      </c>
      <c r="H29" s="253" t="s">
        <v>132</v>
      </c>
      <c r="I29" s="253" t="s">
        <v>132</v>
      </c>
      <c r="J29" s="253" t="s">
        <v>132</v>
      </c>
      <c r="K29" s="253" t="s">
        <v>132</v>
      </c>
      <c r="L29" s="253" t="s">
        <v>132</v>
      </c>
      <c r="M29" s="253" t="s">
        <v>132</v>
      </c>
      <c r="N29" s="253" t="s">
        <v>132</v>
      </c>
      <c r="O29" s="253" t="s">
        <v>132</v>
      </c>
      <c r="P29" s="253" t="s">
        <v>132</v>
      </c>
      <c r="Q29" s="253" t="s">
        <v>132</v>
      </c>
      <c r="R29" s="253" t="s">
        <v>132</v>
      </c>
      <c r="S29" s="253" t="s">
        <v>132</v>
      </c>
      <c r="T29" s="253"/>
      <c r="U29" s="253" t="s">
        <v>132</v>
      </c>
      <c r="V29" s="168">
        <v>18</v>
      </c>
    </row>
    <row r="30" spans="1:22" ht="14.25" x14ac:dyDescent="0.2">
      <c r="A30" s="168">
        <v>5</v>
      </c>
      <c r="B30" s="171" t="s">
        <v>42</v>
      </c>
      <c r="C30" s="33" t="s">
        <v>132</v>
      </c>
      <c r="D30" s="33" t="s">
        <v>132</v>
      </c>
      <c r="E30" s="33" t="s">
        <v>132</v>
      </c>
      <c r="F30" s="33" t="s">
        <v>132</v>
      </c>
      <c r="G30" s="33" t="s">
        <v>132</v>
      </c>
      <c r="H30" s="33" t="s">
        <v>132</v>
      </c>
      <c r="I30" s="33" t="s">
        <v>132</v>
      </c>
      <c r="J30" s="33" t="s">
        <v>132</v>
      </c>
      <c r="K30" s="33" t="s">
        <v>132</v>
      </c>
      <c r="L30" s="33" t="s">
        <v>132</v>
      </c>
      <c r="M30" s="33" t="s">
        <v>132</v>
      </c>
      <c r="N30" s="33" t="s">
        <v>132</v>
      </c>
      <c r="O30" s="33" t="s">
        <v>132</v>
      </c>
      <c r="P30" s="33" t="s">
        <v>132</v>
      </c>
      <c r="Q30" s="33" t="s">
        <v>132</v>
      </c>
      <c r="R30" s="33" t="s">
        <v>132</v>
      </c>
      <c r="S30" s="33" t="s">
        <v>132</v>
      </c>
      <c r="T30" s="33" t="s">
        <v>132</v>
      </c>
      <c r="U30" s="33" t="s">
        <v>132</v>
      </c>
      <c r="V30" s="168">
        <v>19</v>
      </c>
    </row>
    <row r="31" spans="1:22" ht="14.25" x14ac:dyDescent="0.2">
      <c r="A31" s="168">
        <v>6</v>
      </c>
      <c r="B31" s="171" t="s">
        <v>43</v>
      </c>
      <c r="C31" s="33" t="s">
        <v>132</v>
      </c>
      <c r="D31" s="33" t="s">
        <v>132</v>
      </c>
      <c r="E31" s="33" t="s">
        <v>132</v>
      </c>
      <c r="F31" s="33" t="s">
        <v>132</v>
      </c>
      <c r="G31" s="42" t="s">
        <v>132</v>
      </c>
      <c r="H31" s="33" t="s">
        <v>132</v>
      </c>
      <c r="I31" s="33" t="s">
        <v>132</v>
      </c>
      <c r="J31" s="33" t="s">
        <v>132</v>
      </c>
      <c r="K31" s="33" t="s">
        <v>132</v>
      </c>
      <c r="L31" s="33" t="s">
        <v>132</v>
      </c>
      <c r="M31" s="33" t="s">
        <v>132</v>
      </c>
      <c r="N31" s="33" t="s">
        <v>132</v>
      </c>
      <c r="O31" s="33" t="s">
        <v>132</v>
      </c>
      <c r="P31" s="33" t="s">
        <v>132</v>
      </c>
      <c r="Q31" s="33" t="s">
        <v>132</v>
      </c>
      <c r="R31" s="33" t="s">
        <v>132</v>
      </c>
      <c r="S31" s="33" t="s">
        <v>132</v>
      </c>
      <c r="T31" s="33" t="s">
        <v>132</v>
      </c>
      <c r="U31" s="33" t="s">
        <v>132</v>
      </c>
      <c r="V31" s="168">
        <v>19</v>
      </c>
    </row>
    <row r="32" spans="1:22" ht="14.25" x14ac:dyDescent="0.2">
      <c r="A32" s="168">
        <v>7</v>
      </c>
      <c r="B32" s="171" t="s">
        <v>37</v>
      </c>
      <c r="C32" s="33" t="s">
        <v>132</v>
      </c>
      <c r="D32" s="33" t="s">
        <v>132</v>
      </c>
      <c r="E32" s="33" t="s">
        <v>132</v>
      </c>
      <c r="F32" s="33" t="s">
        <v>132</v>
      </c>
      <c r="G32" s="33" t="s">
        <v>132</v>
      </c>
      <c r="H32" s="33" t="s">
        <v>132</v>
      </c>
      <c r="I32" s="33" t="s">
        <v>132</v>
      </c>
      <c r="J32" s="33" t="s">
        <v>132</v>
      </c>
      <c r="K32" s="33" t="s">
        <v>132</v>
      </c>
      <c r="L32" s="33" t="s">
        <v>132</v>
      </c>
      <c r="M32" s="33" t="s">
        <v>132</v>
      </c>
      <c r="N32" s="33" t="s">
        <v>132</v>
      </c>
      <c r="O32" s="33" t="s">
        <v>132</v>
      </c>
      <c r="P32" s="33" t="s">
        <v>132</v>
      </c>
      <c r="Q32" s="33" t="s">
        <v>132</v>
      </c>
      <c r="R32" s="33" t="s">
        <v>132</v>
      </c>
      <c r="S32" s="33" t="s">
        <v>132</v>
      </c>
      <c r="T32" s="42" t="s">
        <v>132</v>
      </c>
      <c r="U32" s="33" t="s">
        <v>132</v>
      </c>
      <c r="V32" s="168">
        <v>19</v>
      </c>
    </row>
    <row r="33" spans="1:22" ht="14.25" x14ac:dyDescent="0.2">
      <c r="A33" s="168">
        <v>8</v>
      </c>
      <c r="B33" s="171" t="s">
        <v>44</v>
      </c>
      <c r="C33" s="33" t="s">
        <v>132</v>
      </c>
      <c r="D33" s="33" t="s">
        <v>132</v>
      </c>
      <c r="E33" s="33" t="s">
        <v>132</v>
      </c>
      <c r="F33" s="33" t="s">
        <v>132</v>
      </c>
      <c r="G33" s="33" t="s">
        <v>132</v>
      </c>
      <c r="H33" s="33" t="s">
        <v>132</v>
      </c>
      <c r="I33" s="33" t="s">
        <v>132</v>
      </c>
      <c r="J33" s="33" t="s">
        <v>132</v>
      </c>
      <c r="K33" s="33" t="s">
        <v>132</v>
      </c>
      <c r="L33" s="33" t="s">
        <v>132</v>
      </c>
      <c r="M33" s="33" t="s">
        <v>132</v>
      </c>
      <c r="N33" s="33" t="s">
        <v>132</v>
      </c>
      <c r="O33" s="33" t="s">
        <v>132</v>
      </c>
      <c r="P33" s="33" t="s">
        <v>132</v>
      </c>
      <c r="Q33" s="33" t="s">
        <v>132</v>
      </c>
      <c r="R33" s="33" t="s">
        <v>132</v>
      </c>
      <c r="S33" s="42" t="s">
        <v>132</v>
      </c>
      <c r="T33" s="33" t="s">
        <v>132</v>
      </c>
      <c r="U33" s="33" t="s">
        <v>132</v>
      </c>
      <c r="V33" s="168">
        <v>19</v>
      </c>
    </row>
    <row r="34" spans="1:22" ht="14.25" x14ac:dyDescent="0.2">
      <c r="A34" s="168">
        <v>9</v>
      </c>
      <c r="B34" s="171" t="s">
        <v>38</v>
      </c>
      <c r="C34" s="253" t="s">
        <v>132</v>
      </c>
      <c r="D34" s="253" t="s">
        <v>132</v>
      </c>
      <c r="E34" s="253" t="s">
        <v>132</v>
      </c>
      <c r="F34" s="253" t="s">
        <v>132</v>
      </c>
      <c r="G34" s="253" t="s">
        <v>132</v>
      </c>
      <c r="H34" s="253" t="s">
        <v>132</v>
      </c>
      <c r="I34" s="253" t="s">
        <v>132</v>
      </c>
      <c r="J34" s="253" t="s">
        <v>132</v>
      </c>
      <c r="K34" s="253" t="s">
        <v>132</v>
      </c>
      <c r="L34" s="253" t="s">
        <v>132</v>
      </c>
      <c r="M34" s="253" t="s">
        <v>132</v>
      </c>
      <c r="N34" s="253" t="s">
        <v>132</v>
      </c>
      <c r="O34" s="253" t="s">
        <v>132</v>
      </c>
      <c r="P34" s="253" t="s">
        <v>132</v>
      </c>
      <c r="Q34" s="253" t="s">
        <v>132</v>
      </c>
      <c r="R34" s="253" t="s">
        <v>132</v>
      </c>
      <c r="S34" s="70" t="s">
        <v>132</v>
      </c>
      <c r="T34" s="253"/>
      <c r="U34" s="253" t="s">
        <v>132</v>
      </c>
      <c r="V34" s="168">
        <v>18</v>
      </c>
    </row>
    <row r="35" spans="1:22" ht="14.25" x14ac:dyDescent="0.2">
      <c r="A35" s="168">
        <v>10</v>
      </c>
      <c r="B35" s="171" t="s">
        <v>35</v>
      </c>
      <c r="C35" s="253" t="s">
        <v>132</v>
      </c>
      <c r="D35" s="253" t="s">
        <v>132</v>
      </c>
      <c r="E35" s="253" t="s">
        <v>132</v>
      </c>
      <c r="F35" s="253" t="s">
        <v>132</v>
      </c>
      <c r="G35" s="253" t="s">
        <v>132</v>
      </c>
      <c r="H35" s="253" t="s">
        <v>132</v>
      </c>
      <c r="I35" s="253" t="s">
        <v>132</v>
      </c>
      <c r="J35" s="253" t="s">
        <v>132</v>
      </c>
      <c r="K35" s="253" t="s">
        <v>132</v>
      </c>
      <c r="L35" s="253" t="s">
        <v>132</v>
      </c>
      <c r="M35" s="253" t="s">
        <v>132</v>
      </c>
      <c r="N35" s="253" t="s">
        <v>132</v>
      </c>
      <c r="O35" s="253" t="s">
        <v>132</v>
      </c>
      <c r="P35" s="253" t="s">
        <v>132</v>
      </c>
      <c r="Q35" s="253" t="s">
        <v>132</v>
      </c>
      <c r="R35" s="253" t="s">
        <v>132</v>
      </c>
      <c r="S35" s="70" t="s">
        <v>132</v>
      </c>
      <c r="T35" s="253" t="s">
        <v>132</v>
      </c>
      <c r="U35" s="253" t="s">
        <v>132</v>
      </c>
      <c r="V35" s="168">
        <v>19</v>
      </c>
    </row>
    <row r="36" spans="1:22" s="174" customFormat="1" ht="14.25" x14ac:dyDescent="0.2">
      <c r="A36" s="280" t="s">
        <v>45</v>
      </c>
      <c r="B36" s="281"/>
      <c r="C36" s="168">
        <f>COUNTIF(C37:C50,"x")</f>
        <v>14</v>
      </c>
      <c r="D36" s="168">
        <f t="shared" ref="D36:U36" si="3">COUNTIF(D37:D50,"x")</f>
        <v>11</v>
      </c>
      <c r="E36" s="168">
        <f t="shared" si="3"/>
        <v>14</v>
      </c>
      <c r="F36" s="168">
        <f t="shared" si="3"/>
        <v>14</v>
      </c>
      <c r="G36" s="168">
        <f t="shared" si="3"/>
        <v>12</v>
      </c>
      <c r="H36" s="168">
        <f t="shared" si="3"/>
        <v>14</v>
      </c>
      <c r="I36" s="168">
        <f t="shared" si="3"/>
        <v>14</v>
      </c>
      <c r="J36" s="168">
        <f t="shared" si="3"/>
        <v>14</v>
      </c>
      <c r="K36" s="168">
        <f t="shared" si="3"/>
        <v>14</v>
      </c>
      <c r="L36" s="168">
        <f t="shared" si="3"/>
        <v>14</v>
      </c>
      <c r="M36" s="168">
        <f t="shared" si="3"/>
        <v>14</v>
      </c>
      <c r="N36" s="168">
        <f t="shared" si="3"/>
        <v>14</v>
      </c>
      <c r="O36" s="168">
        <f t="shared" si="3"/>
        <v>14</v>
      </c>
      <c r="P36" s="168">
        <f t="shared" si="3"/>
        <v>14</v>
      </c>
      <c r="Q36" s="168">
        <f t="shared" si="3"/>
        <v>14</v>
      </c>
      <c r="R36" s="168">
        <f t="shared" si="3"/>
        <v>14</v>
      </c>
      <c r="S36" s="168">
        <f t="shared" si="3"/>
        <v>12</v>
      </c>
      <c r="T36" s="168">
        <f t="shared" si="3"/>
        <v>11</v>
      </c>
      <c r="U36" s="168">
        <f t="shared" si="3"/>
        <v>14</v>
      </c>
      <c r="V36" s="251">
        <f>AVERAGE(V37:V50)</f>
        <v>18.285714285714285</v>
      </c>
    </row>
    <row r="37" spans="1:22" ht="15" x14ac:dyDescent="0.2">
      <c r="A37" s="168">
        <v>1</v>
      </c>
      <c r="B37" s="171" t="s">
        <v>52</v>
      </c>
      <c r="C37" s="170" t="s">
        <v>132</v>
      </c>
      <c r="D37" s="170" t="s">
        <v>132</v>
      </c>
      <c r="E37" s="170" t="s">
        <v>132</v>
      </c>
      <c r="F37" s="170" t="s">
        <v>132</v>
      </c>
      <c r="G37" s="170" t="s">
        <v>132</v>
      </c>
      <c r="H37" s="170" t="s">
        <v>132</v>
      </c>
      <c r="I37" s="170" t="s">
        <v>132</v>
      </c>
      <c r="J37" s="170" t="s">
        <v>132</v>
      </c>
      <c r="K37" s="170" t="s">
        <v>132</v>
      </c>
      <c r="L37" s="170" t="s">
        <v>132</v>
      </c>
      <c r="M37" s="170" t="s">
        <v>132</v>
      </c>
      <c r="N37" s="170" t="s">
        <v>132</v>
      </c>
      <c r="O37" s="170" t="s">
        <v>132</v>
      </c>
      <c r="P37" s="170" t="s">
        <v>132</v>
      </c>
      <c r="Q37" s="170" t="s">
        <v>132</v>
      </c>
      <c r="R37" s="170" t="s">
        <v>132</v>
      </c>
      <c r="S37" s="170" t="s">
        <v>132</v>
      </c>
      <c r="T37" s="170" t="s">
        <v>132</v>
      </c>
      <c r="U37" s="170" t="s">
        <v>132</v>
      </c>
      <c r="V37" s="168">
        <f>COUNTIF(C37:U37,"x")</f>
        <v>19</v>
      </c>
    </row>
    <row r="38" spans="1:22" ht="15" x14ac:dyDescent="0.2">
      <c r="A38" s="168">
        <v>2</v>
      </c>
      <c r="B38" s="171" t="s">
        <v>50</v>
      </c>
      <c r="C38" s="170" t="s">
        <v>132</v>
      </c>
      <c r="D38" s="250" t="s">
        <v>132</v>
      </c>
      <c r="E38" s="170" t="s">
        <v>132</v>
      </c>
      <c r="F38" s="170" t="s">
        <v>132</v>
      </c>
      <c r="G38" s="170" t="s">
        <v>132</v>
      </c>
      <c r="H38" s="170" t="s">
        <v>132</v>
      </c>
      <c r="I38" s="170" t="s">
        <v>132</v>
      </c>
      <c r="J38" s="170" t="s">
        <v>132</v>
      </c>
      <c r="K38" s="170" t="s">
        <v>132</v>
      </c>
      <c r="L38" s="170" t="s">
        <v>132</v>
      </c>
      <c r="M38" s="170" t="s">
        <v>132</v>
      </c>
      <c r="N38" s="170" t="s">
        <v>132</v>
      </c>
      <c r="O38" s="170" t="s">
        <v>132</v>
      </c>
      <c r="P38" s="170" t="s">
        <v>132</v>
      </c>
      <c r="Q38" s="170" t="s">
        <v>132</v>
      </c>
      <c r="R38" s="170" t="s">
        <v>132</v>
      </c>
      <c r="S38" s="170" t="s">
        <v>132</v>
      </c>
      <c r="T38" s="170" t="s">
        <v>132</v>
      </c>
      <c r="U38" s="170" t="s">
        <v>132</v>
      </c>
      <c r="V38" s="168">
        <f t="shared" ref="V38:V64" si="4">COUNTIF(C38:U38,"x")</f>
        <v>19</v>
      </c>
    </row>
    <row r="39" spans="1:22" ht="17.25" customHeight="1" x14ac:dyDescent="0.2">
      <c r="A39" s="168">
        <v>3</v>
      </c>
      <c r="B39" s="171" t="s">
        <v>47</v>
      </c>
      <c r="C39" s="170" t="s">
        <v>132</v>
      </c>
      <c r="D39" s="170" t="s">
        <v>132</v>
      </c>
      <c r="E39" s="170" t="s">
        <v>132</v>
      </c>
      <c r="F39" s="170" t="s">
        <v>132</v>
      </c>
      <c r="G39" s="170" t="s">
        <v>132</v>
      </c>
      <c r="H39" s="170" t="s">
        <v>132</v>
      </c>
      <c r="I39" s="170" t="s">
        <v>132</v>
      </c>
      <c r="J39" s="170" t="s">
        <v>132</v>
      </c>
      <c r="K39" s="170" t="s">
        <v>132</v>
      </c>
      <c r="L39" s="170" t="s">
        <v>132</v>
      </c>
      <c r="M39" s="170" t="s">
        <v>132</v>
      </c>
      <c r="N39" s="170" t="s">
        <v>132</v>
      </c>
      <c r="O39" s="170" t="s">
        <v>132</v>
      </c>
      <c r="P39" s="170" t="s">
        <v>132</v>
      </c>
      <c r="Q39" s="170" t="s">
        <v>132</v>
      </c>
      <c r="R39" s="170" t="s">
        <v>132</v>
      </c>
      <c r="S39" s="170" t="s">
        <v>132</v>
      </c>
      <c r="T39" s="170" t="s">
        <v>132</v>
      </c>
      <c r="U39" s="170" t="s">
        <v>132</v>
      </c>
      <c r="V39" s="168">
        <f t="shared" si="4"/>
        <v>19</v>
      </c>
    </row>
    <row r="40" spans="1:22" ht="15" x14ac:dyDescent="0.2">
      <c r="A40" s="168">
        <v>4</v>
      </c>
      <c r="B40" s="171" t="s">
        <v>49</v>
      </c>
      <c r="C40" s="170" t="s">
        <v>132</v>
      </c>
      <c r="D40" s="170" t="s">
        <v>132</v>
      </c>
      <c r="E40" s="170" t="s">
        <v>132</v>
      </c>
      <c r="F40" s="170" t="s">
        <v>132</v>
      </c>
      <c r="G40" s="170" t="s">
        <v>132</v>
      </c>
      <c r="H40" s="170" t="s">
        <v>132</v>
      </c>
      <c r="I40" s="170" t="s">
        <v>132</v>
      </c>
      <c r="J40" s="170" t="s">
        <v>132</v>
      </c>
      <c r="K40" s="170" t="s">
        <v>132</v>
      </c>
      <c r="L40" s="170" t="s">
        <v>132</v>
      </c>
      <c r="M40" s="170" t="s">
        <v>132</v>
      </c>
      <c r="N40" s="170" t="s">
        <v>132</v>
      </c>
      <c r="O40" s="170" t="s">
        <v>132</v>
      </c>
      <c r="P40" s="170" t="s">
        <v>132</v>
      </c>
      <c r="Q40" s="170" t="s">
        <v>132</v>
      </c>
      <c r="R40" s="170" t="s">
        <v>132</v>
      </c>
      <c r="S40" s="170" t="s">
        <v>132</v>
      </c>
      <c r="T40" s="170" t="s">
        <v>132</v>
      </c>
      <c r="U40" s="170" t="s">
        <v>132</v>
      </c>
      <c r="V40" s="168">
        <f t="shared" si="4"/>
        <v>19</v>
      </c>
    </row>
    <row r="41" spans="1:22" ht="15" x14ac:dyDescent="0.2">
      <c r="A41" s="168">
        <v>5</v>
      </c>
      <c r="B41" s="171" t="s">
        <v>59</v>
      </c>
      <c r="C41" s="170" t="s">
        <v>132</v>
      </c>
      <c r="D41" s="170" t="s">
        <v>132</v>
      </c>
      <c r="E41" s="170" t="s">
        <v>132</v>
      </c>
      <c r="F41" s="170" t="s">
        <v>132</v>
      </c>
      <c r="G41" s="170" t="s">
        <v>132</v>
      </c>
      <c r="H41" s="170" t="s">
        <v>132</v>
      </c>
      <c r="I41" s="170" t="s">
        <v>132</v>
      </c>
      <c r="J41" s="170" t="s">
        <v>132</v>
      </c>
      <c r="K41" s="170" t="s">
        <v>132</v>
      </c>
      <c r="L41" s="170" t="s">
        <v>132</v>
      </c>
      <c r="M41" s="170" t="s">
        <v>132</v>
      </c>
      <c r="N41" s="170" t="s">
        <v>132</v>
      </c>
      <c r="O41" s="170" t="s">
        <v>132</v>
      </c>
      <c r="P41" s="170" t="s">
        <v>132</v>
      </c>
      <c r="Q41" s="170" t="s">
        <v>132</v>
      </c>
      <c r="R41" s="170" t="s">
        <v>132</v>
      </c>
      <c r="S41" s="170" t="s">
        <v>132</v>
      </c>
      <c r="T41" s="250" t="s">
        <v>132</v>
      </c>
      <c r="U41" s="170" t="s">
        <v>132</v>
      </c>
      <c r="V41" s="168">
        <f t="shared" si="4"/>
        <v>19</v>
      </c>
    </row>
    <row r="42" spans="1:22" ht="15" x14ac:dyDescent="0.2">
      <c r="A42" s="168">
        <v>6</v>
      </c>
      <c r="B42" s="171" t="s">
        <v>48</v>
      </c>
      <c r="C42" s="170" t="s">
        <v>132</v>
      </c>
      <c r="D42" s="170" t="s">
        <v>132</v>
      </c>
      <c r="E42" s="170" t="s">
        <v>132</v>
      </c>
      <c r="F42" s="170" t="s">
        <v>132</v>
      </c>
      <c r="G42" s="170" t="s">
        <v>132</v>
      </c>
      <c r="H42" s="170" t="s">
        <v>132</v>
      </c>
      <c r="I42" s="170" t="s">
        <v>132</v>
      </c>
      <c r="J42" s="170" t="s">
        <v>132</v>
      </c>
      <c r="K42" s="170" t="s">
        <v>132</v>
      </c>
      <c r="L42" s="170" t="s">
        <v>132</v>
      </c>
      <c r="M42" s="170" t="s">
        <v>132</v>
      </c>
      <c r="N42" s="170" t="s">
        <v>132</v>
      </c>
      <c r="O42" s="170" t="s">
        <v>132</v>
      </c>
      <c r="P42" s="170" t="s">
        <v>132</v>
      </c>
      <c r="Q42" s="170" t="s">
        <v>132</v>
      </c>
      <c r="R42" s="170" t="s">
        <v>132</v>
      </c>
      <c r="S42" s="170" t="s">
        <v>132</v>
      </c>
      <c r="T42" s="170" t="s">
        <v>132</v>
      </c>
      <c r="U42" s="170" t="s">
        <v>132</v>
      </c>
      <c r="V42" s="168">
        <f t="shared" si="4"/>
        <v>19</v>
      </c>
    </row>
    <row r="43" spans="1:22" s="256" customFormat="1" ht="15" x14ac:dyDescent="0.2">
      <c r="A43" s="254">
        <v>7</v>
      </c>
      <c r="B43" s="255" t="s">
        <v>51</v>
      </c>
      <c r="C43" s="250" t="s">
        <v>132</v>
      </c>
      <c r="D43" s="250" t="s">
        <v>132</v>
      </c>
      <c r="E43" s="250" t="s">
        <v>132</v>
      </c>
      <c r="F43" s="250" t="s">
        <v>132</v>
      </c>
      <c r="G43" s="250" t="s">
        <v>132</v>
      </c>
      <c r="H43" s="250" t="s">
        <v>132</v>
      </c>
      <c r="I43" s="250" t="s">
        <v>132</v>
      </c>
      <c r="J43" s="250" t="s">
        <v>132</v>
      </c>
      <c r="K43" s="250" t="s">
        <v>132</v>
      </c>
      <c r="L43" s="250" t="s">
        <v>132</v>
      </c>
      <c r="M43" s="250" t="s">
        <v>132</v>
      </c>
      <c r="N43" s="250" t="s">
        <v>132</v>
      </c>
      <c r="O43" s="250" t="s">
        <v>132</v>
      </c>
      <c r="P43" s="250" t="s">
        <v>132</v>
      </c>
      <c r="Q43" s="250" t="s">
        <v>132</v>
      </c>
      <c r="R43" s="250" t="s">
        <v>132</v>
      </c>
      <c r="S43" s="250" t="s">
        <v>132</v>
      </c>
      <c r="T43" s="250"/>
      <c r="U43" s="250" t="s">
        <v>132</v>
      </c>
      <c r="V43" s="254">
        <f t="shared" si="4"/>
        <v>18</v>
      </c>
    </row>
    <row r="44" spans="1:22" ht="15" x14ac:dyDescent="0.2">
      <c r="A44" s="168">
        <v>8</v>
      </c>
      <c r="B44" s="171" t="s">
        <v>46</v>
      </c>
      <c r="C44" s="170" t="s">
        <v>132</v>
      </c>
      <c r="D44" s="170" t="s">
        <v>132</v>
      </c>
      <c r="E44" s="170" t="s">
        <v>132</v>
      </c>
      <c r="F44" s="170" t="s">
        <v>132</v>
      </c>
      <c r="G44" s="170" t="s">
        <v>132</v>
      </c>
      <c r="H44" s="170" t="s">
        <v>132</v>
      </c>
      <c r="I44" s="170" t="s">
        <v>132</v>
      </c>
      <c r="J44" s="170" t="s">
        <v>132</v>
      </c>
      <c r="K44" s="170" t="s">
        <v>132</v>
      </c>
      <c r="L44" s="170" t="s">
        <v>132</v>
      </c>
      <c r="M44" s="170" t="s">
        <v>132</v>
      </c>
      <c r="N44" s="170" t="s">
        <v>132</v>
      </c>
      <c r="O44" s="170" t="s">
        <v>132</v>
      </c>
      <c r="P44" s="170" t="s">
        <v>132</v>
      </c>
      <c r="Q44" s="170" t="s">
        <v>132</v>
      </c>
      <c r="R44" s="170" t="s">
        <v>132</v>
      </c>
      <c r="S44" s="170" t="s">
        <v>132</v>
      </c>
      <c r="T44" s="170" t="s">
        <v>132</v>
      </c>
      <c r="U44" s="170" t="s">
        <v>132</v>
      </c>
      <c r="V44" s="168">
        <f t="shared" si="4"/>
        <v>19</v>
      </c>
    </row>
    <row r="45" spans="1:22" ht="15" x14ac:dyDescent="0.2">
      <c r="A45" s="168">
        <v>9</v>
      </c>
      <c r="B45" s="171" t="s">
        <v>53</v>
      </c>
      <c r="C45" s="170" t="s">
        <v>132</v>
      </c>
      <c r="D45" s="170" t="s">
        <v>132</v>
      </c>
      <c r="E45" s="170" t="s">
        <v>132</v>
      </c>
      <c r="F45" s="170" t="s">
        <v>132</v>
      </c>
      <c r="G45" s="170" t="s">
        <v>132</v>
      </c>
      <c r="H45" s="170" t="s">
        <v>132</v>
      </c>
      <c r="I45" s="170" t="s">
        <v>132</v>
      </c>
      <c r="J45" s="170" t="s">
        <v>132</v>
      </c>
      <c r="K45" s="170" t="s">
        <v>132</v>
      </c>
      <c r="L45" s="170" t="s">
        <v>132</v>
      </c>
      <c r="M45" s="170" t="s">
        <v>132</v>
      </c>
      <c r="N45" s="170" t="s">
        <v>132</v>
      </c>
      <c r="O45" s="170" t="s">
        <v>132</v>
      </c>
      <c r="P45" s="170" t="s">
        <v>132</v>
      </c>
      <c r="Q45" s="170" t="s">
        <v>132</v>
      </c>
      <c r="R45" s="170" t="s">
        <v>132</v>
      </c>
      <c r="S45" s="170" t="s">
        <v>132</v>
      </c>
      <c r="T45" s="170" t="s">
        <v>132</v>
      </c>
      <c r="U45" s="170" t="s">
        <v>132</v>
      </c>
      <c r="V45" s="168">
        <f t="shared" si="4"/>
        <v>19</v>
      </c>
    </row>
    <row r="46" spans="1:22" s="256" customFormat="1" ht="15" x14ac:dyDescent="0.2">
      <c r="A46" s="254">
        <v>10</v>
      </c>
      <c r="B46" s="255" t="s">
        <v>58</v>
      </c>
      <c r="C46" s="250" t="s">
        <v>132</v>
      </c>
      <c r="D46" s="250"/>
      <c r="E46" s="250" t="s">
        <v>132</v>
      </c>
      <c r="F46" s="250" t="s">
        <v>132</v>
      </c>
      <c r="G46" s="250" t="s">
        <v>132</v>
      </c>
      <c r="H46" s="250" t="s">
        <v>132</v>
      </c>
      <c r="I46" s="250" t="s">
        <v>132</v>
      </c>
      <c r="J46" s="250" t="s">
        <v>132</v>
      </c>
      <c r="K46" s="250" t="s">
        <v>132</v>
      </c>
      <c r="L46" s="250" t="s">
        <v>132</v>
      </c>
      <c r="M46" s="250" t="s">
        <v>132</v>
      </c>
      <c r="N46" s="250" t="s">
        <v>132</v>
      </c>
      <c r="O46" s="250" t="s">
        <v>132</v>
      </c>
      <c r="P46" s="250" t="s">
        <v>132</v>
      </c>
      <c r="Q46" s="250" t="s">
        <v>132</v>
      </c>
      <c r="R46" s="250" t="s">
        <v>132</v>
      </c>
      <c r="S46" s="250" t="s">
        <v>132</v>
      </c>
      <c r="T46" s="250" t="s">
        <v>132</v>
      </c>
      <c r="U46" s="250" t="s">
        <v>132</v>
      </c>
      <c r="V46" s="254">
        <f t="shared" si="4"/>
        <v>18</v>
      </c>
    </row>
    <row r="47" spans="1:22" ht="15" x14ac:dyDescent="0.2">
      <c r="A47" s="168">
        <v>11</v>
      </c>
      <c r="B47" s="171" t="s">
        <v>55</v>
      </c>
      <c r="C47" s="170" t="s">
        <v>132</v>
      </c>
      <c r="D47" s="170" t="s">
        <v>132</v>
      </c>
      <c r="E47" s="170" t="s">
        <v>132</v>
      </c>
      <c r="F47" s="170" t="s">
        <v>132</v>
      </c>
      <c r="G47" s="170" t="s">
        <v>132</v>
      </c>
      <c r="H47" s="170" t="s">
        <v>132</v>
      </c>
      <c r="I47" s="170" t="s">
        <v>132</v>
      </c>
      <c r="J47" s="170" t="s">
        <v>132</v>
      </c>
      <c r="K47" s="170" t="s">
        <v>132</v>
      </c>
      <c r="L47" s="170" t="s">
        <v>132</v>
      </c>
      <c r="M47" s="170" t="s">
        <v>132</v>
      </c>
      <c r="N47" s="170" t="s">
        <v>132</v>
      </c>
      <c r="O47" s="170" t="s">
        <v>132</v>
      </c>
      <c r="P47" s="170" t="s">
        <v>132</v>
      </c>
      <c r="Q47" s="170" t="s">
        <v>132</v>
      </c>
      <c r="R47" s="170" t="s">
        <v>132</v>
      </c>
      <c r="S47" s="170" t="s">
        <v>132</v>
      </c>
      <c r="T47" s="170" t="s">
        <v>132</v>
      </c>
      <c r="U47" s="170" t="s">
        <v>132</v>
      </c>
      <c r="V47" s="168">
        <f t="shared" si="4"/>
        <v>19</v>
      </c>
    </row>
    <row r="48" spans="1:22" ht="15" x14ac:dyDescent="0.2">
      <c r="A48" s="168">
        <v>12</v>
      </c>
      <c r="B48" s="171" t="s">
        <v>54</v>
      </c>
      <c r="C48" s="170" t="s">
        <v>132</v>
      </c>
      <c r="D48" s="170" t="s">
        <v>132</v>
      </c>
      <c r="E48" s="170" t="s">
        <v>132</v>
      </c>
      <c r="F48" s="170" t="s">
        <v>132</v>
      </c>
      <c r="G48" s="170" t="s">
        <v>132</v>
      </c>
      <c r="H48" s="170" t="s">
        <v>132</v>
      </c>
      <c r="I48" s="170" t="s">
        <v>132</v>
      </c>
      <c r="J48" s="170" t="s">
        <v>132</v>
      </c>
      <c r="K48" s="170" t="s">
        <v>132</v>
      </c>
      <c r="L48" s="170" t="s">
        <v>132</v>
      </c>
      <c r="M48" s="170" t="s">
        <v>132</v>
      </c>
      <c r="N48" s="170" t="s">
        <v>132</v>
      </c>
      <c r="O48" s="170" t="s">
        <v>132</v>
      </c>
      <c r="P48" s="170" t="s">
        <v>132</v>
      </c>
      <c r="Q48" s="170" t="s">
        <v>132</v>
      </c>
      <c r="R48" s="170" t="s">
        <v>132</v>
      </c>
      <c r="S48" s="170" t="s">
        <v>132</v>
      </c>
      <c r="T48" s="170" t="s">
        <v>132</v>
      </c>
      <c r="U48" s="170" t="s">
        <v>132</v>
      </c>
      <c r="V48" s="168">
        <f t="shared" si="4"/>
        <v>19</v>
      </c>
    </row>
    <row r="49" spans="1:23" ht="15" x14ac:dyDescent="0.2">
      <c r="A49" s="168">
        <v>13</v>
      </c>
      <c r="B49" s="171" t="s">
        <v>56</v>
      </c>
      <c r="C49" s="170" t="s">
        <v>132</v>
      </c>
      <c r="D49" s="170"/>
      <c r="E49" s="170" t="s">
        <v>132</v>
      </c>
      <c r="F49" s="170" t="s">
        <v>132</v>
      </c>
      <c r="G49" s="170"/>
      <c r="H49" s="170" t="s">
        <v>132</v>
      </c>
      <c r="I49" s="170" t="s">
        <v>132</v>
      </c>
      <c r="J49" s="170" t="s">
        <v>132</v>
      </c>
      <c r="K49" s="170" t="s">
        <v>132</v>
      </c>
      <c r="L49" s="170" t="s">
        <v>132</v>
      </c>
      <c r="M49" s="170" t="s">
        <v>132</v>
      </c>
      <c r="N49" s="170" t="s">
        <v>132</v>
      </c>
      <c r="O49" s="170" t="s">
        <v>132</v>
      </c>
      <c r="P49" s="170" t="s">
        <v>132</v>
      </c>
      <c r="Q49" s="170" t="s">
        <v>132</v>
      </c>
      <c r="R49" s="170" t="s">
        <v>132</v>
      </c>
      <c r="S49" s="170"/>
      <c r="T49" s="170"/>
      <c r="U49" s="170" t="s">
        <v>132</v>
      </c>
      <c r="V49" s="168">
        <f t="shared" si="4"/>
        <v>15</v>
      </c>
    </row>
    <row r="50" spans="1:23" ht="15" x14ac:dyDescent="0.2">
      <c r="A50" s="168">
        <v>14</v>
      </c>
      <c r="B50" s="171" t="s">
        <v>57</v>
      </c>
      <c r="C50" s="170" t="s">
        <v>132</v>
      </c>
      <c r="D50" s="170"/>
      <c r="E50" s="170" t="s">
        <v>132</v>
      </c>
      <c r="F50" s="170" t="s">
        <v>132</v>
      </c>
      <c r="G50" s="170"/>
      <c r="H50" s="170" t="s">
        <v>132</v>
      </c>
      <c r="I50" s="170" t="s">
        <v>132</v>
      </c>
      <c r="J50" s="170" t="s">
        <v>132</v>
      </c>
      <c r="K50" s="170" t="s">
        <v>132</v>
      </c>
      <c r="L50" s="170" t="s">
        <v>132</v>
      </c>
      <c r="M50" s="170" t="s">
        <v>132</v>
      </c>
      <c r="N50" s="170" t="s">
        <v>132</v>
      </c>
      <c r="O50" s="170" t="s">
        <v>132</v>
      </c>
      <c r="P50" s="170" t="s">
        <v>132</v>
      </c>
      <c r="Q50" s="170" t="s">
        <v>132</v>
      </c>
      <c r="R50" s="170" t="s">
        <v>132</v>
      </c>
      <c r="S50" s="170"/>
      <c r="T50" s="170"/>
      <c r="U50" s="170" t="s">
        <v>132</v>
      </c>
      <c r="V50" s="168">
        <f t="shared" si="4"/>
        <v>15</v>
      </c>
    </row>
    <row r="51" spans="1:23" s="174" customFormat="1" ht="14.25" x14ac:dyDescent="0.2">
      <c r="A51" s="280" t="s">
        <v>60</v>
      </c>
      <c r="B51" s="281"/>
      <c r="C51" s="168">
        <f>COUNTIF(C52:C57,"x")</f>
        <v>6</v>
      </c>
      <c r="D51" s="168">
        <f t="shared" ref="D51:U51" si="5">COUNTIF(D52:D57,"x")</f>
        <v>6</v>
      </c>
      <c r="E51" s="168">
        <f t="shared" si="5"/>
        <v>6</v>
      </c>
      <c r="F51" s="168">
        <f t="shared" si="5"/>
        <v>6</v>
      </c>
      <c r="G51" s="168">
        <f t="shared" si="5"/>
        <v>6</v>
      </c>
      <c r="H51" s="168">
        <f t="shared" si="5"/>
        <v>6</v>
      </c>
      <c r="I51" s="168">
        <f t="shared" si="5"/>
        <v>6</v>
      </c>
      <c r="J51" s="168">
        <f t="shared" si="5"/>
        <v>6</v>
      </c>
      <c r="K51" s="168">
        <f t="shared" si="5"/>
        <v>6</v>
      </c>
      <c r="L51" s="168">
        <f t="shared" si="5"/>
        <v>6</v>
      </c>
      <c r="M51" s="168">
        <f t="shared" si="5"/>
        <v>6</v>
      </c>
      <c r="N51" s="168">
        <f t="shared" si="5"/>
        <v>6</v>
      </c>
      <c r="O51" s="168">
        <f t="shared" si="5"/>
        <v>6</v>
      </c>
      <c r="P51" s="168">
        <f t="shared" si="5"/>
        <v>6</v>
      </c>
      <c r="Q51" s="168">
        <f t="shared" si="5"/>
        <v>6</v>
      </c>
      <c r="R51" s="168">
        <f t="shared" si="5"/>
        <v>6</v>
      </c>
      <c r="S51" s="168">
        <f t="shared" si="5"/>
        <v>6</v>
      </c>
      <c r="T51" s="168">
        <f t="shared" si="5"/>
        <v>6</v>
      </c>
      <c r="U51" s="168">
        <f t="shared" si="5"/>
        <v>6</v>
      </c>
      <c r="V51" s="173">
        <f>AVERAGE(V52:V57)</f>
        <v>19</v>
      </c>
    </row>
    <row r="52" spans="1:23" ht="15" x14ac:dyDescent="0.2">
      <c r="A52" s="168">
        <v>1</v>
      </c>
      <c r="B52" s="171" t="s">
        <v>64</v>
      </c>
      <c r="C52" s="170" t="s">
        <v>132</v>
      </c>
      <c r="D52" s="170" t="s">
        <v>132</v>
      </c>
      <c r="E52" s="170" t="s">
        <v>132</v>
      </c>
      <c r="F52" s="170" t="s">
        <v>132</v>
      </c>
      <c r="G52" s="170" t="s">
        <v>132</v>
      </c>
      <c r="H52" s="170" t="s">
        <v>132</v>
      </c>
      <c r="I52" s="170" t="s">
        <v>132</v>
      </c>
      <c r="J52" s="170" t="s">
        <v>132</v>
      </c>
      <c r="K52" s="170" t="s">
        <v>132</v>
      </c>
      <c r="L52" s="170" t="s">
        <v>132</v>
      </c>
      <c r="M52" s="170" t="s">
        <v>132</v>
      </c>
      <c r="N52" s="170" t="s">
        <v>132</v>
      </c>
      <c r="O52" s="170" t="s">
        <v>132</v>
      </c>
      <c r="P52" s="170" t="s">
        <v>132</v>
      </c>
      <c r="Q52" s="170" t="s">
        <v>132</v>
      </c>
      <c r="R52" s="170" t="s">
        <v>132</v>
      </c>
      <c r="S52" s="170" t="s">
        <v>132</v>
      </c>
      <c r="T52" s="170" t="s">
        <v>132</v>
      </c>
      <c r="U52" s="170" t="s">
        <v>132</v>
      </c>
      <c r="V52" s="168">
        <f t="shared" si="4"/>
        <v>19</v>
      </c>
    </row>
    <row r="53" spans="1:23" ht="15" x14ac:dyDescent="0.2">
      <c r="A53" s="168">
        <v>2</v>
      </c>
      <c r="B53" s="171" t="s">
        <v>62</v>
      </c>
      <c r="C53" s="170" t="s">
        <v>132</v>
      </c>
      <c r="D53" s="170" t="s">
        <v>132</v>
      </c>
      <c r="E53" s="170" t="s">
        <v>132</v>
      </c>
      <c r="F53" s="170" t="s">
        <v>132</v>
      </c>
      <c r="G53" s="170" t="s">
        <v>132</v>
      </c>
      <c r="H53" s="170" t="s">
        <v>132</v>
      </c>
      <c r="I53" s="170" t="s">
        <v>132</v>
      </c>
      <c r="J53" s="170" t="s">
        <v>132</v>
      </c>
      <c r="K53" s="170" t="s">
        <v>132</v>
      </c>
      <c r="L53" s="170" t="s">
        <v>132</v>
      </c>
      <c r="M53" s="170" t="s">
        <v>132</v>
      </c>
      <c r="N53" s="170" t="s">
        <v>132</v>
      </c>
      <c r="O53" s="170" t="s">
        <v>132</v>
      </c>
      <c r="P53" s="170" t="s">
        <v>132</v>
      </c>
      <c r="Q53" s="170" t="s">
        <v>132</v>
      </c>
      <c r="R53" s="170" t="s">
        <v>132</v>
      </c>
      <c r="S53" s="170" t="s">
        <v>132</v>
      </c>
      <c r="T53" s="170" t="s">
        <v>132</v>
      </c>
      <c r="U53" s="170" t="s">
        <v>132</v>
      </c>
      <c r="V53" s="168">
        <f t="shared" si="4"/>
        <v>19</v>
      </c>
      <c r="W53" s="212"/>
    </row>
    <row r="54" spans="1:23" ht="15" x14ac:dyDescent="0.2">
      <c r="A54" s="168">
        <v>3</v>
      </c>
      <c r="B54" s="171" t="s">
        <v>61</v>
      </c>
      <c r="C54" s="170" t="s">
        <v>132</v>
      </c>
      <c r="D54" s="170" t="s">
        <v>132</v>
      </c>
      <c r="E54" s="170" t="s">
        <v>132</v>
      </c>
      <c r="F54" s="170" t="s">
        <v>132</v>
      </c>
      <c r="G54" s="170" t="s">
        <v>132</v>
      </c>
      <c r="H54" s="170" t="s">
        <v>132</v>
      </c>
      <c r="I54" s="170" t="s">
        <v>132</v>
      </c>
      <c r="J54" s="170" t="s">
        <v>132</v>
      </c>
      <c r="K54" s="170" t="s">
        <v>132</v>
      </c>
      <c r="L54" s="170" t="s">
        <v>132</v>
      </c>
      <c r="M54" s="170" t="s">
        <v>132</v>
      </c>
      <c r="N54" s="170" t="s">
        <v>132</v>
      </c>
      <c r="O54" s="170" t="s">
        <v>132</v>
      </c>
      <c r="P54" s="170" t="s">
        <v>132</v>
      </c>
      <c r="Q54" s="170" t="s">
        <v>132</v>
      </c>
      <c r="R54" s="170" t="s">
        <v>132</v>
      </c>
      <c r="S54" s="170" t="s">
        <v>132</v>
      </c>
      <c r="T54" s="170" t="s">
        <v>132</v>
      </c>
      <c r="U54" s="170" t="s">
        <v>132</v>
      </c>
      <c r="V54" s="168">
        <f t="shared" si="4"/>
        <v>19</v>
      </c>
    </row>
    <row r="55" spans="1:23" ht="15" x14ac:dyDescent="0.2">
      <c r="A55" s="168">
        <v>4</v>
      </c>
      <c r="B55" s="171" t="s">
        <v>65</v>
      </c>
      <c r="C55" s="170" t="s">
        <v>132</v>
      </c>
      <c r="D55" s="170" t="s">
        <v>132</v>
      </c>
      <c r="E55" s="170" t="s">
        <v>132</v>
      </c>
      <c r="F55" s="170" t="s">
        <v>132</v>
      </c>
      <c r="G55" s="170" t="s">
        <v>132</v>
      </c>
      <c r="H55" s="170" t="s">
        <v>132</v>
      </c>
      <c r="I55" s="170" t="s">
        <v>132</v>
      </c>
      <c r="J55" s="170" t="s">
        <v>132</v>
      </c>
      <c r="K55" s="170" t="s">
        <v>132</v>
      </c>
      <c r="L55" s="170" t="s">
        <v>132</v>
      </c>
      <c r="M55" s="170" t="s">
        <v>132</v>
      </c>
      <c r="N55" s="170" t="s">
        <v>132</v>
      </c>
      <c r="O55" s="170" t="s">
        <v>132</v>
      </c>
      <c r="P55" s="170" t="s">
        <v>132</v>
      </c>
      <c r="Q55" s="170" t="s">
        <v>132</v>
      </c>
      <c r="R55" s="170" t="s">
        <v>132</v>
      </c>
      <c r="S55" s="170" t="s">
        <v>132</v>
      </c>
      <c r="T55" s="170" t="s">
        <v>132</v>
      </c>
      <c r="U55" s="170" t="s">
        <v>132</v>
      </c>
      <c r="V55" s="168">
        <f t="shared" si="4"/>
        <v>19</v>
      </c>
    </row>
    <row r="56" spans="1:23" ht="15" x14ac:dyDescent="0.2">
      <c r="A56" s="168">
        <v>5</v>
      </c>
      <c r="B56" s="171" t="s">
        <v>66</v>
      </c>
      <c r="C56" s="170" t="s">
        <v>132</v>
      </c>
      <c r="D56" s="170" t="s">
        <v>132</v>
      </c>
      <c r="E56" s="170" t="s">
        <v>132</v>
      </c>
      <c r="F56" s="170" t="s">
        <v>132</v>
      </c>
      <c r="G56" s="170" t="s">
        <v>132</v>
      </c>
      <c r="H56" s="170" t="s">
        <v>132</v>
      </c>
      <c r="I56" s="170" t="s">
        <v>132</v>
      </c>
      <c r="J56" s="170" t="s">
        <v>132</v>
      </c>
      <c r="K56" s="170" t="s">
        <v>132</v>
      </c>
      <c r="L56" s="170" t="s">
        <v>132</v>
      </c>
      <c r="M56" s="170" t="s">
        <v>132</v>
      </c>
      <c r="N56" s="170" t="s">
        <v>132</v>
      </c>
      <c r="O56" s="170" t="s">
        <v>132</v>
      </c>
      <c r="P56" s="170" t="s">
        <v>132</v>
      </c>
      <c r="Q56" s="170" t="s">
        <v>132</v>
      </c>
      <c r="R56" s="170" t="s">
        <v>132</v>
      </c>
      <c r="S56" s="170" t="s">
        <v>132</v>
      </c>
      <c r="T56" s="170" t="s">
        <v>132</v>
      </c>
      <c r="U56" s="170" t="s">
        <v>132</v>
      </c>
      <c r="V56" s="168">
        <f t="shared" si="4"/>
        <v>19</v>
      </c>
    </row>
    <row r="57" spans="1:23" ht="15" x14ac:dyDescent="0.2">
      <c r="A57" s="168">
        <v>6</v>
      </c>
      <c r="B57" s="171" t="s">
        <v>63</v>
      </c>
      <c r="C57" s="170" t="s">
        <v>132</v>
      </c>
      <c r="D57" s="170" t="s">
        <v>132</v>
      </c>
      <c r="E57" s="170" t="s">
        <v>132</v>
      </c>
      <c r="F57" s="170" t="s">
        <v>132</v>
      </c>
      <c r="G57" s="170" t="s">
        <v>132</v>
      </c>
      <c r="H57" s="170" t="s">
        <v>132</v>
      </c>
      <c r="I57" s="170" t="s">
        <v>132</v>
      </c>
      <c r="J57" s="170" t="s">
        <v>132</v>
      </c>
      <c r="K57" s="170" t="s">
        <v>132</v>
      </c>
      <c r="L57" s="170" t="s">
        <v>132</v>
      </c>
      <c r="M57" s="170" t="s">
        <v>132</v>
      </c>
      <c r="N57" s="170" t="s">
        <v>132</v>
      </c>
      <c r="O57" s="170" t="s">
        <v>132</v>
      </c>
      <c r="P57" s="170" t="s">
        <v>132</v>
      </c>
      <c r="Q57" s="170" t="s">
        <v>132</v>
      </c>
      <c r="R57" s="170" t="s">
        <v>132</v>
      </c>
      <c r="S57" s="170" t="s">
        <v>132</v>
      </c>
      <c r="T57" s="170" t="s">
        <v>132</v>
      </c>
      <c r="U57" s="170" t="s">
        <v>132</v>
      </c>
      <c r="V57" s="168">
        <f t="shared" si="4"/>
        <v>19</v>
      </c>
    </row>
    <row r="58" spans="1:23" s="174" customFormat="1" ht="14.25" x14ac:dyDescent="0.2">
      <c r="A58" s="280" t="s">
        <v>67</v>
      </c>
      <c r="B58" s="281"/>
      <c r="C58" s="168">
        <f>COUNTIF(C59:C64,"x")</f>
        <v>6</v>
      </c>
      <c r="D58" s="168">
        <f t="shared" ref="D58:U58" si="6">COUNTIF(D59:D64,"x")</f>
        <v>6</v>
      </c>
      <c r="E58" s="168">
        <f t="shared" si="6"/>
        <v>6</v>
      </c>
      <c r="F58" s="168">
        <f t="shared" si="6"/>
        <v>6</v>
      </c>
      <c r="G58" s="168">
        <f t="shared" si="6"/>
        <v>5</v>
      </c>
      <c r="H58" s="168">
        <f t="shared" si="6"/>
        <v>6</v>
      </c>
      <c r="I58" s="168">
        <f t="shared" si="6"/>
        <v>6</v>
      </c>
      <c r="J58" s="168">
        <f t="shared" si="6"/>
        <v>6</v>
      </c>
      <c r="K58" s="168">
        <f t="shared" si="6"/>
        <v>6</v>
      </c>
      <c r="L58" s="168">
        <f t="shared" si="6"/>
        <v>6</v>
      </c>
      <c r="M58" s="168">
        <f t="shared" si="6"/>
        <v>6</v>
      </c>
      <c r="N58" s="168">
        <f t="shared" si="6"/>
        <v>6</v>
      </c>
      <c r="O58" s="168">
        <f t="shared" si="6"/>
        <v>6</v>
      </c>
      <c r="P58" s="168">
        <f t="shared" si="6"/>
        <v>6</v>
      </c>
      <c r="Q58" s="168">
        <f t="shared" si="6"/>
        <v>6</v>
      </c>
      <c r="R58" s="168">
        <f t="shared" si="6"/>
        <v>6</v>
      </c>
      <c r="S58" s="168">
        <f t="shared" si="6"/>
        <v>6</v>
      </c>
      <c r="T58" s="168">
        <f t="shared" si="6"/>
        <v>6</v>
      </c>
      <c r="U58" s="168">
        <f t="shared" si="6"/>
        <v>6</v>
      </c>
      <c r="V58" s="173">
        <f>AVERAGE(V59:V64)</f>
        <v>18.833333333333332</v>
      </c>
    </row>
    <row r="59" spans="1:23" ht="15" x14ac:dyDescent="0.2">
      <c r="A59" s="168">
        <v>1</v>
      </c>
      <c r="B59" s="169" t="s">
        <v>68</v>
      </c>
      <c r="C59" s="170" t="s">
        <v>132</v>
      </c>
      <c r="D59" s="170" t="s">
        <v>132</v>
      </c>
      <c r="E59" s="170" t="s">
        <v>132</v>
      </c>
      <c r="F59" s="170" t="s">
        <v>132</v>
      </c>
      <c r="G59" s="170" t="s">
        <v>132</v>
      </c>
      <c r="H59" s="170" t="s">
        <v>132</v>
      </c>
      <c r="I59" s="170" t="s">
        <v>132</v>
      </c>
      <c r="J59" s="170" t="s">
        <v>132</v>
      </c>
      <c r="K59" s="170" t="s">
        <v>132</v>
      </c>
      <c r="L59" s="170" t="s">
        <v>132</v>
      </c>
      <c r="M59" s="170" t="s">
        <v>132</v>
      </c>
      <c r="N59" s="170" t="s">
        <v>132</v>
      </c>
      <c r="O59" s="170" t="s">
        <v>132</v>
      </c>
      <c r="P59" s="170" t="s">
        <v>132</v>
      </c>
      <c r="Q59" s="170" t="s">
        <v>132</v>
      </c>
      <c r="R59" s="170" t="s">
        <v>132</v>
      </c>
      <c r="S59" s="170" t="s">
        <v>132</v>
      </c>
      <c r="T59" s="170" t="s">
        <v>132</v>
      </c>
      <c r="U59" s="170" t="s">
        <v>132</v>
      </c>
      <c r="V59" s="168">
        <f t="shared" si="4"/>
        <v>19</v>
      </c>
    </row>
    <row r="60" spans="1:23" ht="15" x14ac:dyDescent="0.2">
      <c r="A60" s="168">
        <v>2</v>
      </c>
      <c r="B60" s="169" t="s">
        <v>69</v>
      </c>
      <c r="C60" s="170" t="s">
        <v>132</v>
      </c>
      <c r="D60" s="170" t="s">
        <v>132</v>
      </c>
      <c r="E60" s="170" t="s">
        <v>132</v>
      </c>
      <c r="F60" s="170" t="s">
        <v>132</v>
      </c>
      <c r="G60" s="170" t="s">
        <v>132</v>
      </c>
      <c r="H60" s="170" t="s">
        <v>132</v>
      </c>
      <c r="I60" s="170" t="s">
        <v>132</v>
      </c>
      <c r="J60" s="170" t="s">
        <v>132</v>
      </c>
      <c r="K60" s="170" t="s">
        <v>132</v>
      </c>
      <c r="L60" s="170" t="s">
        <v>132</v>
      </c>
      <c r="M60" s="170" t="s">
        <v>132</v>
      </c>
      <c r="N60" s="170" t="s">
        <v>132</v>
      </c>
      <c r="O60" s="170" t="s">
        <v>132</v>
      </c>
      <c r="P60" s="170" t="s">
        <v>132</v>
      </c>
      <c r="Q60" s="170" t="s">
        <v>132</v>
      </c>
      <c r="R60" s="170" t="s">
        <v>132</v>
      </c>
      <c r="S60" s="170" t="s">
        <v>132</v>
      </c>
      <c r="T60" s="170" t="s">
        <v>132</v>
      </c>
      <c r="U60" s="170" t="s">
        <v>132</v>
      </c>
      <c r="V60" s="168">
        <f t="shared" si="4"/>
        <v>19</v>
      </c>
    </row>
    <row r="61" spans="1:23" ht="15" x14ac:dyDescent="0.2">
      <c r="A61" s="168">
        <v>3</v>
      </c>
      <c r="B61" s="169" t="s">
        <v>71</v>
      </c>
      <c r="C61" s="170" t="s">
        <v>132</v>
      </c>
      <c r="D61" s="170" t="s">
        <v>132</v>
      </c>
      <c r="E61" s="170" t="s">
        <v>132</v>
      </c>
      <c r="F61" s="170" t="s">
        <v>132</v>
      </c>
      <c r="G61" s="170"/>
      <c r="H61" s="170" t="s">
        <v>132</v>
      </c>
      <c r="I61" s="170" t="s">
        <v>132</v>
      </c>
      <c r="J61" s="170" t="s">
        <v>132</v>
      </c>
      <c r="K61" s="170" t="s">
        <v>132</v>
      </c>
      <c r="L61" s="170" t="s">
        <v>132</v>
      </c>
      <c r="M61" s="170" t="s">
        <v>132</v>
      </c>
      <c r="N61" s="170" t="s">
        <v>132</v>
      </c>
      <c r="O61" s="170" t="s">
        <v>132</v>
      </c>
      <c r="P61" s="170" t="s">
        <v>132</v>
      </c>
      <c r="Q61" s="170" t="s">
        <v>132</v>
      </c>
      <c r="R61" s="170" t="s">
        <v>132</v>
      </c>
      <c r="S61" s="170" t="s">
        <v>132</v>
      </c>
      <c r="T61" s="170" t="s">
        <v>132</v>
      </c>
      <c r="U61" s="170" t="s">
        <v>132</v>
      </c>
      <c r="V61" s="168">
        <f t="shared" si="4"/>
        <v>18</v>
      </c>
    </row>
    <row r="62" spans="1:23" ht="15" x14ac:dyDescent="0.2">
      <c r="A62" s="168">
        <v>4</v>
      </c>
      <c r="B62" s="169" t="s">
        <v>70</v>
      </c>
      <c r="C62" s="170" t="s">
        <v>132</v>
      </c>
      <c r="D62" s="170" t="s">
        <v>132</v>
      </c>
      <c r="E62" s="170" t="s">
        <v>132</v>
      </c>
      <c r="F62" s="170" t="s">
        <v>132</v>
      </c>
      <c r="G62" s="170" t="s">
        <v>132</v>
      </c>
      <c r="H62" s="170" t="s">
        <v>132</v>
      </c>
      <c r="I62" s="170" t="s">
        <v>132</v>
      </c>
      <c r="J62" s="170" t="s">
        <v>132</v>
      </c>
      <c r="K62" s="170" t="s">
        <v>132</v>
      </c>
      <c r="L62" s="170" t="s">
        <v>132</v>
      </c>
      <c r="M62" s="170" t="s">
        <v>132</v>
      </c>
      <c r="N62" s="170" t="s">
        <v>132</v>
      </c>
      <c r="O62" s="170" t="s">
        <v>132</v>
      </c>
      <c r="P62" s="170" t="s">
        <v>132</v>
      </c>
      <c r="Q62" s="170" t="s">
        <v>132</v>
      </c>
      <c r="R62" s="170" t="s">
        <v>132</v>
      </c>
      <c r="S62" s="170" t="s">
        <v>132</v>
      </c>
      <c r="T62" s="170" t="s">
        <v>132</v>
      </c>
      <c r="U62" s="170" t="s">
        <v>132</v>
      </c>
      <c r="V62" s="168">
        <f t="shared" si="4"/>
        <v>19</v>
      </c>
    </row>
    <row r="63" spans="1:23" ht="15" x14ac:dyDescent="0.2">
      <c r="A63" s="168">
        <v>5</v>
      </c>
      <c r="B63" s="169" t="s">
        <v>72</v>
      </c>
      <c r="C63" s="170" t="s">
        <v>132</v>
      </c>
      <c r="D63" s="170" t="s">
        <v>132</v>
      </c>
      <c r="E63" s="170" t="s">
        <v>132</v>
      </c>
      <c r="F63" s="170" t="s">
        <v>132</v>
      </c>
      <c r="G63" s="170" t="s">
        <v>132</v>
      </c>
      <c r="H63" s="170" t="s">
        <v>132</v>
      </c>
      <c r="I63" s="170" t="s">
        <v>132</v>
      </c>
      <c r="J63" s="170" t="s">
        <v>132</v>
      </c>
      <c r="K63" s="170" t="s">
        <v>132</v>
      </c>
      <c r="L63" s="170" t="s">
        <v>132</v>
      </c>
      <c r="M63" s="170" t="s">
        <v>132</v>
      </c>
      <c r="N63" s="170" t="s">
        <v>132</v>
      </c>
      <c r="O63" s="170" t="s">
        <v>132</v>
      </c>
      <c r="P63" s="170" t="s">
        <v>132</v>
      </c>
      <c r="Q63" s="170" t="s">
        <v>132</v>
      </c>
      <c r="R63" s="170" t="s">
        <v>132</v>
      </c>
      <c r="S63" s="170" t="s">
        <v>132</v>
      </c>
      <c r="T63" s="170" t="s">
        <v>132</v>
      </c>
      <c r="U63" s="170" t="s">
        <v>132</v>
      </c>
      <c r="V63" s="168">
        <f t="shared" si="4"/>
        <v>19</v>
      </c>
    </row>
    <row r="64" spans="1:23" ht="15" x14ac:dyDescent="0.2">
      <c r="A64" s="168">
        <v>6</v>
      </c>
      <c r="B64" s="169" t="s">
        <v>73</v>
      </c>
      <c r="C64" s="170" t="s">
        <v>132</v>
      </c>
      <c r="D64" s="170" t="s">
        <v>132</v>
      </c>
      <c r="E64" s="170" t="s">
        <v>132</v>
      </c>
      <c r="F64" s="170" t="s">
        <v>132</v>
      </c>
      <c r="G64" s="170" t="s">
        <v>132</v>
      </c>
      <c r="H64" s="170" t="s">
        <v>132</v>
      </c>
      <c r="I64" s="170" t="s">
        <v>132</v>
      </c>
      <c r="J64" s="170" t="s">
        <v>132</v>
      </c>
      <c r="K64" s="170" t="s">
        <v>132</v>
      </c>
      <c r="L64" s="170" t="s">
        <v>132</v>
      </c>
      <c r="M64" s="170" t="s">
        <v>132</v>
      </c>
      <c r="N64" s="170" t="s">
        <v>132</v>
      </c>
      <c r="O64" s="170" t="s">
        <v>132</v>
      </c>
      <c r="P64" s="170" t="s">
        <v>132</v>
      </c>
      <c r="Q64" s="170" t="s">
        <v>132</v>
      </c>
      <c r="R64" s="170" t="s">
        <v>132</v>
      </c>
      <c r="S64" s="170" t="s">
        <v>132</v>
      </c>
      <c r="T64" s="170" t="s">
        <v>132</v>
      </c>
      <c r="U64" s="170" t="s">
        <v>132</v>
      </c>
      <c r="V64" s="168">
        <f t="shared" si="4"/>
        <v>19</v>
      </c>
      <c r="W64" s="164" t="s">
        <v>136</v>
      </c>
    </row>
    <row r="65" spans="1:24" s="188" customFormat="1" ht="30.75" customHeight="1" x14ac:dyDescent="0.3">
      <c r="A65" s="282" t="s">
        <v>261</v>
      </c>
      <c r="B65" s="281"/>
      <c r="C65" s="168">
        <f t="shared" ref="C65:U65" si="7">C4+C25+C36+C51+C58</f>
        <v>56</v>
      </c>
      <c r="D65" s="168">
        <f t="shared" si="7"/>
        <v>53</v>
      </c>
      <c r="E65" s="168">
        <f t="shared" si="7"/>
        <v>56</v>
      </c>
      <c r="F65" s="168">
        <f t="shared" si="7"/>
        <v>56</v>
      </c>
      <c r="G65" s="168">
        <f t="shared" si="7"/>
        <v>53</v>
      </c>
      <c r="H65" s="168">
        <f t="shared" si="7"/>
        <v>56</v>
      </c>
      <c r="I65" s="168">
        <f t="shared" si="7"/>
        <v>56</v>
      </c>
      <c r="J65" s="168">
        <f t="shared" si="7"/>
        <v>56</v>
      </c>
      <c r="K65" s="168">
        <f t="shared" si="7"/>
        <v>56</v>
      </c>
      <c r="L65" s="168">
        <f t="shared" si="7"/>
        <v>56</v>
      </c>
      <c r="M65" s="168">
        <f t="shared" si="7"/>
        <v>56</v>
      </c>
      <c r="N65" s="168">
        <f t="shared" si="7"/>
        <v>56</v>
      </c>
      <c r="O65" s="168">
        <f t="shared" si="7"/>
        <v>56</v>
      </c>
      <c r="P65" s="168">
        <f t="shared" si="7"/>
        <v>56</v>
      </c>
      <c r="Q65" s="168">
        <f>Q4+Q25+Q36+Q51+Q58</f>
        <v>56</v>
      </c>
      <c r="R65" s="168">
        <f t="shared" si="7"/>
        <v>56</v>
      </c>
      <c r="S65" s="168">
        <f t="shared" si="7"/>
        <v>54</v>
      </c>
      <c r="T65" s="168">
        <f t="shared" si="7"/>
        <v>49</v>
      </c>
      <c r="U65" s="168">
        <f t="shared" si="7"/>
        <v>56</v>
      </c>
      <c r="V65" s="260">
        <f>(SUM(V59:V64)+SUM(V52:V57)+SUM(V37:V50)+SUM(V26:V35)+SUM(V5:V24))/56</f>
        <v>18.732142857142858</v>
      </c>
      <c r="W65" s="186"/>
      <c r="X65" s="187"/>
    </row>
    <row r="66" spans="1:24" s="190" customFormat="1" ht="15" x14ac:dyDescent="0.2">
      <c r="A66" s="283" t="s">
        <v>143</v>
      </c>
      <c r="B66" s="284"/>
      <c r="C66" s="176">
        <f t="shared" ref="C66:U66" si="8">100*C65/56</f>
        <v>100</v>
      </c>
      <c r="D66" s="176">
        <f t="shared" si="8"/>
        <v>94.642857142857139</v>
      </c>
      <c r="E66" s="176">
        <f t="shared" si="8"/>
        <v>100</v>
      </c>
      <c r="F66" s="176">
        <f t="shared" si="8"/>
        <v>100</v>
      </c>
      <c r="G66" s="176">
        <f t="shared" si="8"/>
        <v>94.642857142857139</v>
      </c>
      <c r="H66" s="176">
        <f t="shared" si="8"/>
        <v>100</v>
      </c>
      <c r="I66" s="176">
        <f t="shared" si="8"/>
        <v>100</v>
      </c>
      <c r="J66" s="176">
        <f t="shared" si="8"/>
        <v>100</v>
      </c>
      <c r="K66" s="176">
        <f t="shared" si="8"/>
        <v>100</v>
      </c>
      <c r="L66" s="189">
        <f>100*L65/56</f>
        <v>100</v>
      </c>
      <c r="M66" s="176">
        <f t="shared" si="8"/>
        <v>100</v>
      </c>
      <c r="N66" s="176">
        <f t="shared" si="8"/>
        <v>100</v>
      </c>
      <c r="O66" s="176">
        <f t="shared" si="8"/>
        <v>100</v>
      </c>
      <c r="P66" s="176">
        <f t="shared" si="8"/>
        <v>100</v>
      </c>
      <c r="Q66" s="176">
        <f>100*Q65/56</f>
        <v>100</v>
      </c>
      <c r="R66" s="176">
        <f t="shared" si="8"/>
        <v>100</v>
      </c>
      <c r="S66" s="176">
        <f t="shared" si="8"/>
        <v>96.428571428571431</v>
      </c>
      <c r="T66" s="176">
        <f t="shared" si="8"/>
        <v>87.5</v>
      </c>
      <c r="U66" s="176">
        <f t="shared" si="8"/>
        <v>100</v>
      </c>
      <c r="V66" s="177"/>
    </row>
    <row r="67" spans="1:24" s="190" customFormat="1" ht="17.25" customHeight="1" x14ac:dyDescent="0.2">
      <c r="A67" s="285" t="str">
        <f>"Bình quân số tiêu chí đạt tính đến tháng 11 năm 2019/xã: "&amp; ROUND(V65,2) &amp;"/19 tiêu chí"</f>
        <v>Bình quân số tiêu chí đạt tính đến tháng 11 năm 2019/xã: 18,73/19 tiêu chí</v>
      </c>
      <c r="B67" s="286"/>
      <c r="C67" s="286"/>
      <c r="D67" s="286"/>
      <c r="E67" s="286"/>
      <c r="F67" s="286"/>
      <c r="G67" s="286"/>
      <c r="H67" s="286"/>
      <c r="I67" s="286"/>
      <c r="J67" s="286"/>
      <c r="K67" s="286"/>
      <c r="L67" s="286"/>
      <c r="M67" s="286"/>
      <c r="N67" s="286"/>
      <c r="O67" s="286"/>
      <c r="P67" s="286"/>
      <c r="Q67" s="286"/>
      <c r="R67" s="286"/>
      <c r="S67" s="286"/>
      <c r="T67" s="286"/>
      <c r="U67" s="286"/>
      <c r="V67" s="287"/>
    </row>
    <row r="68" spans="1:24" ht="8.25" customHeight="1" x14ac:dyDescent="0.3">
      <c r="K68" s="191"/>
      <c r="L68" s="191"/>
      <c r="M68" s="191"/>
      <c r="N68" s="191"/>
      <c r="O68" s="191"/>
      <c r="P68" s="191"/>
      <c r="Q68" s="191"/>
      <c r="R68" s="191"/>
      <c r="S68" s="191"/>
      <c r="T68" s="191"/>
      <c r="U68" s="191"/>
      <c r="V68" s="192"/>
    </row>
    <row r="69" spans="1:24" ht="32.25" customHeight="1" x14ac:dyDescent="0.2">
      <c r="V69" s="193"/>
    </row>
    <row r="73" spans="1:24" s="178" customFormat="1" x14ac:dyDescent="0.2">
      <c r="T73" s="199"/>
    </row>
    <row r="74" spans="1:24" s="178" customFormat="1" x14ac:dyDescent="0.2">
      <c r="T74" s="199"/>
    </row>
    <row r="75" spans="1:24" s="178" customFormat="1" x14ac:dyDescent="0.2">
      <c r="T75" s="199"/>
    </row>
    <row r="76" spans="1:24" s="178" customFormat="1" x14ac:dyDescent="0.2">
      <c r="T76" s="199"/>
    </row>
    <row r="77" spans="1:24" s="178" customFormat="1" x14ac:dyDescent="0.2">
      <c r="T77" s="199"/>
    </row>
    <row r="78" spans="1:24" s="178" customFormat="1" x14ac:dyDescent="0.2">
      <c r="T78" s="199"/>
    </row>
    <row r="79" spans="1:24" s="178" customFormat="1" x14ac:dyDescent="0.2">
      <c r="T79" s="199"/>
    </row>
    <row r="80" spans="1:24" s="178" customFormat="1" x14ac:dyDescent="0.2">
      <c r="T80" s="199"/>
    </row>
    <row r="81" spans="8:20" s="178" customFormat="1" x14ac:dyDescent="0.2">
      <c r="T81" s="199"/>
    </row>
    <row r="82" spans="8:20" s="178" customFormat="1" x14ac:dyDescent="0.2">
      <c r="T82" s="199"/>
    </row>
    <row r="83" spans="8:20" s="178" customFormat="1" x14ac:dyDescent="0.2">
      <c r="T83" s="199"/>
    </row>
    <row r="84" spans="8:20" s="178" customFormat="1" x14ac:dyDescent="0.2">
      <c r="T84" s="199"/>
    </row>
    <row r="85" spans="8:20" s="178" customFormat="1" x14ac:dyDescent="0.2">
      <c r="T85" s="199"/>
    </row>
    <row r="86" spans="8:20" s="178" customFormat="1" x14ac:dyDescent="0.2">
      <c r="T86" s="199"/>
    </row>
    <row r="87" spans="8:20" s="178" customFormat="1" x14ac:dyDescent="0.2">
      <c r="T87" s="199"/>
    </row>
    <row r="88" spans="8:20" s="178" customFormat="1" x14ac:dyDescent="0.2">
      <c r="T88" s="199"/>
    </row>
    <row r="89" spans="8:20" s="178" customFormat="1" x14ac:dyDescent="0.2">
      <c r="T89" s="199"/>
    </row>
    <row r="90" spans="8:20" s="178" customFormat="1" x14ac:dyDescent="0.2">
      <c r="T90" s="199"/>
    </row>
    <row r="91" spans="8:20" x14ac:dyDescent="0.2">
      <c r="J91" s="181"/>
      <c r="K91" s="206"/>
      <c r="L91" s="207"/>
    </row>
    <row r="92" spans="8:20" x14ac:dyDescent="0.2">
      <c r="H92" s="208"/>
      <c r="L92" s="207"/>
      <c r="M92" s="207"/>
    </row>
    <row r="93" spans="8:20" x14ac:dyDescent="0.2">
      <c r="H93" s="181"/>
      <c r="L93" s="207"/>
      <c r="M93" s="207"/>
    </row>
    <row r="94" spans="8:20" x14ac:dyDescent="0.2">
      <c r="I94" s="181"/>
      <c r="J94" s="181"/>
      <c r="K94" s="181"/>
      <c r="L94" s="209"/>
      <c r="M94" s="209"/>
      <c r="N94" s="174"/>
      <c r="O94" s="174"/>
      <c r="P94" s="174"/>
      <c r="Q94" s="174"/>
    </row>
    <row r="95" spans="8:20" s="174" customFormat="1" x14ac:dyDescent="0.2">
      <c r="J95" s="182"/>
      <c r="K95" s="181"/>
      <c r="L95" s="209"/>
      <c r="M95" s="209"/>
    </row>
    <row r="96" spans="8:20" s="174" customFormat="1" x14ac:dyDescent="0.2">
      <c r="K96" s="181"/>
      <c r="L96" s="207"/>
      <c r="M96" s="207"/>
      <c r="N96" s="164"/>
      <c r="O96" s="164"/>
      <c r="P96" s="164"/>
      <c r="Q96" s="164"/>
    </row>
    <row r="97" spans="12:17" x14ac:dyDescent="0.2">
      <c r="L97" s="207"/>
      <c r="M97" s="207"/>
    </row>
    <row r="98" spans="12:17" x14ac:dyDescent="0.2">
      <c r="L98" s="207"/>
      <c r="M98" s="207"/>
    </row>
    <row r="99" spans="12:17" x14ac:dyDescent="0.2">
      <c r="L99" s="207"/>
    </row>
    <row r="100" spans="12:17" x14ac:dyDescent="0.2">
      <c r="L100" s="209"/>
      <c r="M100" s="174"/>
      <c r="N100" s="174"/>
      <c r="O100" s="174"/>
      <c r="P100" s="174"/>
      <c r="Q100" s="174"/>
    </row>
    <row r="101" spans="12:17" s="174" customFormat="1" x14ac:dyDescent="0.2">
      <c r="L101" s="209"/>
    </row>
    <row r="102" spans="12:17" s="174" customFormat="1" x14ac:dyDescent="0.2">
      <c r="L102" s="207"/>
      <c r="M102" s="164"/>
      <c r="N102" s="164"/>
      <c r="O102" s="164"/>
      <c r="P102" s="164"/>
      <c r="Q102" s="164"/>
    </row>
    <row r="103" spans="12:17" x14ac:dyDescent="0.2">
      <c r="L103" s="207"/>
    </row>
  </sheetData>
  <autoFilter ref="V1:V103"/>
  <mergeCells count="11">
    <mergeCell ref="A58:B58"/>
    <mergeCell ref="A65:B65"/>
    <mergeCell ref="A66:B66"/>
    <mergeCell ref="A67:V67"/>
    <mergeCell ref="A1:V1"/>
    <mergeCell ref="A4:B4"/>
    <mergeCell ref="A25:B25"/>
    <mergeCell ref="A36:B36"/>
    <mergeCell ref="A51:B51"/>
    <mergeCell ref="A2:A3"/>
    <mergeCell ref="B2:B3"/>
  </mergeCells>
  <printOptions horizontalCentered="1"/>
  <pageMargins left="0.35433070866141736" right="0.15748031496062992" top="0.62992125984251968" bottom="0.47244094488188981" header="0.15748031496062992" footer="0.15748031496062992"/>
  <pageSetup paperSize="9" scale="75" fitToHeight="3" orientation="landscape" r:id="rId1"/>
  <headerFooter alignWithMargins="0"/>
  <ignoredErrors>
    <ignoredError sqref="V51 V5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24"/>
  <sheetViews>
    <sheetView topLeftCell="A7" workbookViewId="0">
      <selection activeCell="M18" sqref="M18"/>
    </sheetView>
  </sheetViews>
  <sheetFormatPr defaultRowHeight="12.75" x14ac:dyDescent="0.2"/>
  <cols>
    <col min="2" max="2" width="20" bestFit="1" customWidth="1"/>
    <col min="8" max="8" width="22.7109375" bestFit="1" customWidth="1"/>
  </cols>
  <sheetData>
    <row r="3" spans="1:10" ht="57" customHeight="1" x14ac:dyDescent="0.25">
      <c r="A3" s="296" t="s">
        <v>76</v>
      </c>
      <c r="B3" s="296" t="s">
        <v>77</v>
      </c>
      <c r="C3" s="295" t="s">
        <v>271</v>
      </c>
      <c r="D3" s="296"/>
      <c r="E3" s="188"/>
      <c r="F3" s="297"/>
      <c r="G3" s="296" t="s">
        <v>76</v>
      </c>
      <c r="H3" s="296" t="s">
        <v>77</v>
      </c>
      <c r="I3" s="295" t="s">
        <v>271</v>
      </c>
      <c r="J3" s="296"/>
    </row>
    <row r="4" spans="1:10" ht="31.5" x14ac:dyDescent="0.25">
      <c r="A4" s="296"/>
      <c r="B4" s="296"/>
      <c r="C4" s="240" t="s">
        <v>144</v>
      </c>
      <c r="D4" s="240" t="s">
        <v>80</v>
      </c>
      <c r="E4" s="188"/>
      <c r="F4" s="297"/>
      <c r="G4" s="296"/>
      <c r="H4" s="296"/>
      <c r="I4" s="240" t="s">
        <v>144</v>
      </c>
      <c r="J4" s="240" t="s">
        <v>80</v>
      </c>
    </row>
    <row r="5" spans="1:10" ht="15.75" x14ac:dyDescent="0.2">
      <c r="A5" s="194">
        <v>1</v>
      </c>
      <c r="B5" s="213" t="s">
        <v>145</v>
      </c>
      <c r="C5" s="195">
        <f>COUNTIF('Tc den 11'!$V$26:$V$35,1)+COUNTIF('Tc den 11'!$V$37:$V$50,1)+COUNTIF('Tc den 11'!$V$5:$V$24,1)+COUNTIF('Tc den 11'!$V$52:$V$57,1)+COUNTIF('Tc den 11'!$V$59:$V$64,1)</f>
        <v>0</v>
      </c>
      <c r="D5" s="196">
        <f t="shared" ref="D5:D23" si="0">C5/$C$24*100</f>
        <v>0</v>
      </c>
      <c r="E5" s="164"/>
      <c r="F5" s="211"/>
      <c r="G5" s="197">
        <v>1</v>
      </c>
      <c r="H5" s="213" t="s">
        <v>146</v>
      </c>
      <c r="I5" s="198">
        <f>'Tc den 11'!C65</f>
        <v>56</v>
      </c>
      <c r="J5" s="196">
        <f t="shared" ref="J5:J23" si="1">I5/$C$24*100</f>
        <v>100</v>
      </c>
    </row>
    <row r="6" spans="1:10" ht="15.75" x14ac:dyDescent="0.2">
      <c r="A6" s="194">
        <v>2</v>
      </c>
      <c r="B6" s="213" t="s">
        <v>147</v>
      </c>
      <c r="C6" s="198">
        <f>COUNTIF('Tc den 11'!$V$26:$V$35,2)+COUNTIF('Tc den 11'!$V$37:$V$50,2)+COUNTIF('Tc den 11'!$V$5:$V$24,2)+COUNTIF('Tc den 11'!$V$52:$V$57,2)+COUNTIF('Tc den 11'!$V$59:$V$64,2)</f>
        <v>0</v>
      </c>
      <c r="D6" s="196">
        <f t="shared" si="0"/>
        <v>0</v>
      </c>
      <c r="E6" s="164"/>
      <c r="F6" s="211"/>
      <c r="G6" s="197">
        <v>2</v>
      </c>
      <c r="H6" s="213" t="s">
        <v>148</v>
      </c>
      <c r="I6" s="198">
        <f>'Tc den 11'!D65</f>
        <v>53</v>
      </c>
      <c r="J6" s="257">
        <f t="shared" si="1"/>
        <v>94.642857142857139</v>
      </c>
    </row>
    <row r="7" spans="1:10" ht="15.75" x14ac:dyDescent="0.2">
      <c r="A7" s="194">
        <v>3</v>
      </c>
      <c r="B7" s="213" t="s">
        <v>149</v>
      </c>
      <c r="C7" s="198">
        <f>COUNTIF('Tc den 11'!$V$26:$V$35,3)+COUNTIF('Tc den 11'!$V$37:$V$50,3)+COUNTIF('Tc den 11'!$V$5:$V$24,3)+COUNTIF('Tc den 11'!$V$52:$V$57,3)+COUNTIF('Tc den 11'!$V$59:$V$64,3)</f>
        <v>0</v>
      </c>
      <c r="D7" s="196">
        <f t="shared" si="0"/>
        <v>0</v>
      </c>
      <c r="E7" s="178"/>
      <c r="F7" s="211"/>
      <c r="G7" s="197">
        <v>3</v>
      </c>
      <c r="H7" s="213" t="s">
        <v>150</v>
      </c>
      <c r="I7" s="198">
        <f>'Tc den 11'!E65</f>
        <v>56</v>
      </c>
      <c r="J7" s="196">
        <f t="shared" si="1"/>
        <v>100</v>
      </c>
    </row>
    <row r="8" spans="1:10" ht="15.75" x14ac:dyDescent="0.2">
      <c r="A8" s="194">
        <v>4</v>
      </c>
      <c r="B8" s="213" t="s">
        <v>151</v>
      </c>
      <c r="C8" s="198">
        <f>COUNTIF('Tc den 11'!$V$26:$V$35,4)+COUNTIF('Tc den 11'!$V$37:$V$50,4)+COUNTIF('Tc den 11'!$V$5:$V$24,4)+COUNTIF('Tc den 11'!$V$52:$V$57,4)+COUNTIF('Tc den 11'!$V$59:$V$64,4)</f>
        <v>0</v>
      </c>
      <c r="D8" s="196">
        <f t="shared" si="0"/>
        <v>0</v>
      </c>
      <c r="E8" s="178"/>
      <c r="F8" s="211"/>
      <c r="G8" s="197">
        <v>4</v>
      </c>
      <c r="H8" s="213" t="s">
        <v>152</v>
      </c>
      <c r="I8" s="198">
        <f>'Tc den 11'!F65</f>
        <v>56</v>
      </c>
      <c r="J8" s="196">
        <f t="shared" si="1"/>
        <v>100</v>
      </c>
    </row>
    <row r="9" spans="1:10" ht="15.75" x14ac:dyDescent="0.2">
      <c r="A9" s="194">
        <v>5</v>
      </c>
      <c r="B9" s="213" t="s">
        <v>153</v>
      </c>
      <c r="C9" s="198">
        <f>COUNTIF('Tc den 11'!$V$26:$V$35,5)+COUNTIF('Tc den 11'!$V$37:$V$50,5)+COUNTIF('Tc den 11'!$V$5:$V$24,5)+COUNTIF('Tc den 11'!$V$52:$V$57,5)+COUNTIF('Tc den 11'!$V$59:$V$64,5)</f>
        <v>0</v>
      </c>
      <c r="D9" s="196">
        <f t="shared" si="0"/>
        <v>0</v>
      </c>
      <c r="E9" s="179"/>
      <c r="F9" s="211"/>
      <c r="G9" s="197">
        <v>5</v>
      </c>
      <c r="H9" s="213" t="s">
        <v>154</v>
      </c>
      <c r="I9" s="198">
        <f>'Tc den 11'!G65</f>
        <v>53</v>
      </c>
      <c r="J9" s="257">
        <f t="shared" si="1"/>
        <v>94.642857142857139</v>
      </c>
    </row>
    <row r="10" spans="1:10" ht="15.75" x14ac:dyDescent="0.2">
      <c r="A10" s="194">
        <v>6</v>
      </c>
      <c r="B10" s="213" t="s">
        <v>155</v>
      </c>
      <c r="C10" s="198">
        <f>COUNTIF('Tc den 11'!$V$26:$V$35,6)+COUNTIF('Tc den 11'!$V$37:$V$50,6)+COUNTIF('Tc den 11'!$V$5:$V$24,6)+COUNTIF('Tc den 11'!$V$52:$V$57,6)+COUNTIF('Tc den 11'!$V$59:$V$64,6)</f>
        <v>0</v>
      </c>
      <c r="D10" s="196">
        <f t="shared" si="0"/>
        <v>0</v>
      </c>
      <c r="E10" s="179"/>
      <c r="F10" s="211"/>
      <c r="G10" s="197">
        <v>6</v>
      </c>
      <c r="H10" s="213" t="s">
        <v>156</v>
      </c>
      <c r="I10" s="198">
        <f>'Tc den 11'!H65</f>
        <v>56</v>
      </c>
      <c r="J10" s="196">
        <f t="shared" si="1"/>
        <v>100</v>
      </c>
    </row>
    <row r="11" spans="1:10" ht="15.75" x14ac:dyDescent="0.2">
      <c r="A11" s="194">
        <v>7</v>
      </c>
      <c r="B11" s="213" t="s">
        <v>157</v>
      </c>
      <c r="C11" s="198">
        <f>COUNTIF('Tc den 11'!$V$26:$V$35,7)+COUNTIF('Tc den 11'!$V$37:$V$50,7)+COUNTIF('Tc den 11'!$V$5:$V$24,7)+COUNTIF('Tc den 11'!$V$52:$V$57,7)+COUNTIF('Tc den 11'!$V$59:$V$64,7)</f>
        <v>0</v>
      </c>
      <c r="D11" s="196">
        <f t="shared" si="0"/>
        <v>0</v>
      </c>
      <c r="E11" s="179"/>
      <c r="F11" s="211"/>
      <c r="G11" s="197">
        <v>7</v>
      </c>
      <c r="H11" s="213" t="s">
        <v>158</v>
      </c>
      <c r="I11" s="198">
        <f>'Tc den 11'!I65</f>
        <v>56</v>
      </c>
      <c r="J11" s="196">
        <f t="shared" si="1"/>
        <v>100</v>
      </c>
    </row>
    <row r="12" spans="1:10" ht="15.75" x14ac:dyDescent="0.2">
      <c r="A12" s="194">
        <v>8</v>
      </c>
      <c r="B12" s="213" t="s">
        <v>159</v>
      </c>
      <c r="C12" s="198">
        <f>COUNTIF('Tc den 11'!$V$26:$V$35,8)+COUNTIF('Tc den 11'!$V$37:$V$50,8)+COUNTIF('Tc den 11'!$V$5:$V$24,8)+COUNTIF('Tc den 11'!$V$52:$V$57,8)+COUNTIF('Tc den 11'!$V$59:$V$64,8)</f>
        <v>0</v>
      </c>
      <c r="D12" s="196">
        <f t="shared" si="0"/>
        <v>0</v>
      </c>
      <c r="E12" s="179"/>
      <c r="F12" s="211"/>
      <c r="G12" s="197">
        <v>8</v>
      </c>
      <c r="H12" s="213" t="s">
        <v>160</v>
      </c>
      <c r="I12" s="198">
        <f>'Tc den 11'!J65</f>
        <v>56</v>
      </c>
      <c r="J12" s="196">
        <f t="shared" si="1"/>
        <v>100</v>
      </c>
    </row>
    <row r="13" spans="1:10" ht="15.75" x14ac:dyDescent="0.2">
      <c r="A13" s="194">
        <v>9</v>
      </c>
      <c r="B13" s="213" t="s">
        <v>161</v>
      </c>
      <c r="C13" s="198">
        <f>COUNTIF('Tc den 11'!$V$26:$V$35,9)+COUNTIF('Tc den 11'!$V$37:$V$50,9)+COUNTIF('Tc den 11'!$V$5:$V$24,9)+COUNTIF('Tc den 11'!$V$52:$V$57,9)+COUNTIF('Tc den 11'!$V$59:$V$64,9)</f>
        <v>0</v>
      </c>
      <c r="D13" s="196">
        <f t="shared" si="0"/>
        <v>0</v>
      </c>
      <c r="E13" s="178"/>
      <c r="F13" s="211"/>
      <c r="G13" s="197">
        <v>9</v>
      </c>
      <c r="H13" s="213" t="s">
        <v>162</v>
      </c>
      <c r="I13" s="198">
        <f>'Tc den 11'!K65</f>
        <v>56</v>
      </c>
      <c r="J13" s="196">
        <f t="shared" si="1"/>
        <v>100</v>
      </c>
    </row>
    <row r="14" spans="1:10" ht="15.75" x14ac:dyDescent="0.2">
      <c r="A14" s="194">
        <v>10</v>
      </c>
      <c r="B14" s="213" t="s">
        <v>163</v>
      </c>
      <c r="C14" s="198">
        <f>COUNTIF('Tc den 11'!$V$26:$V$35,10)+COUNTIF('Tc den 11'!$V$37:$V$50,10)+COUNTIF('Tc den 11'!$V$5:$V$24,10)+COUNTIF('Tc den 11'!$V$52:$V$57,10)+COUNTIF('Tc den 11'!$V$59:$V$64,10)</f>
        <v>0</v>
      </c>
      <c r="D14" s="196">
        <f t="shared" si="0"/>
        <v>0</v>
      </c>
      <c r="E14" s="178"/>
      <c r="F14" s="211"/>
      <c r="G14" s="197">
        <v>10</v>
      </c>
      <c r="H14" s="213" t="s">
        <v>164</v>
      </c>
      <c r="I14" s="198">
        <f>'Tc den 11'!L65</f>
        <v>56</v>
      </c>
      <c r="J14" s="196">
        <f t="shared" si="1"/>
        <v>100</v>
      </c>
    </row>
    <row r="15" spans="1:10" ht="15.75" x14ac:dyDescent="0.2">
      <c r="A15" s="194">
        <v>11</v>
      </c>
      <c r="B15" s="213" t="s">
        <v>165</v>
      </c>
      <c r="C15" s="198">
        <f>COUNTIF('Tc den 11'!$V$26:$V$35,11)+COUNTIF('Tc den 11'!$V$37:$V$50,11)+COUNTIF('Tc den 11'!$V$5:$V$24,11)+COUNTIF('Tc den 11'!$V$52:$V$57,11)+COUNTIF('Tc den 11'!$V$59:$V$64,11)</f>
        <v>0</v>
      </c>
      <c r="D15" s="196">
        <f t="shared" si="0"/>
        <v>0</v>
      </c>
      <c r="E15" s="178"/>
      <c r="F15" s="211"/>
      <c r="G15" s="197">
        <v>11</v>
      </c>
      <c r="H15" s="213" t="s">
        <v>166</v>
      </c>
      <c r="I15" s="198">
        <f>'Tc den 11'!M65</f>
        <v>56</v>
      </c>
      <c r="J15" s="196">
        <f t="shared" si="1"/>
        <v>100</v>
      </c>
    </row>
    <row r="16" spans="1:10" ht="15.75" x14ac:dyDescent="0.2">
      <c r="A16" s="194">
        <v>12</v>
      </c>
      <c r="B16" s="213" t="s">
        <v>167</v>
      </c>
      <c r="C16" s="198">
        <f>COUNTIF('Tc den 11'!$V$26:$V$35,12)+COUNTIF('Tc den 11'!$V$37:$V$50,12)+COUNTIF('Tc den 11'!$V$5:$V$24,12)+COUNTIF('Tc den 11'!$V$52:$V$57,12)+COUNTIF('Tc den 11'!$V$59:$V$64,12)</f>
        <v>0</v>
      </c>
      <c r="D16" s="196">
        <f t="shared" si="0"/>
        <v>0</v>
      </c>
      <c r="E16" s="178"/>
      <c r="F16" s="211"/>
      <c r="G16" s="197">
        <v>12</v>
      </c>
      <c r="H16" s="213" t="s">
        <v>168</v>
      </c>
      <c r="I16" s="198">
        <f>'Tc den 11'!N65</f>
        <v>56</v>
      </c>
      <c r="J16" s="196">
        <f t="shared" si="1"/>
        <v>100</v>
      </c>
    </row>
    <row r="17" spans="1:10" ht="15.75" x14ac:dyDescent="0.2">
      <c r="A17" s="194">
        <v>13</v>
      </c>
      <c r="B17" s="213" t="s">
        <v>169</v>
      </c>
      <c r="C17" s="198">
        <f>COUNTIF('Tc den 11'!$V$26:$V$35,13)+COUNTIF('Tc den 11'!$V$37:$V$50,13)+COUNTIF('Tc den 11'!$V$5:$V$24,13)+COUNTIF('Tc den 11'!$V$52:$V$57,13)+COUNTIF('Tc den 11'!$V$59:$V$64,13)</f>
        <v>0</v>
      </c>
      <c r="D17" s="196">
        <f t="shared" si="0"/>
        <v>0</v>
      </c>
      <c r="E17" s="178"/>
      <c r="F17" s="211"/>
      <c r="G17" s="197">
        <v>13</v>
      </c>
      <c r="H17" s="213" t="s">
        <v>170</v>
      </c>
      <c r="I17" s="198">
        <f>'Tc den 11'!O65</f>
        <v>56</v>
      </c>
      <c r="J17" s="196">
        <f t="shared" si="1"/>
        <v>100</v>
      </c>
    </row>
    <row r="18" spans="1:10" ht="15.75" x14ac:dyDescent="0.2">
      <c r="A18" s="194">
        <v>14</v>
      </c>
      <c r="B18" s="213" t="s">
        <v>171</v>
      </c>
      <c r="C18" s="198">
        <f>COUNTIF('Tc den 11'!$V$26:$V$35,14)+COUNTIF('Tc den 11'!$V$37:$V$50,14)+COUNTIF('Tc den 11'!$V$5:$V$24,14)+COUNTIF('Tc den 11'!$V$52:$V$57,14)+COUNTIF('Tc den 11'!$V$59:$V$64,14)</f>
        <v>0</v>
      </c>
      <c r="D18" s="196">
        <f t="shared" si="0"/>
        <v>0</v>
      </c>
      <c r="E18" s="180"/>
      <c r="F18" s="200"/>
      <c r="G18" s="197">
        <v>14</v>
      </c>
      <c r="H18" s="213" t="s">
        <v>172</v>
      </c>
      <c r="I18" s="198">
        <f>'Tc den 11'!P65</f>
        <v>56</v>
      </c>
      <c r="J18" s="196">
        <f t="shared" si="1"/>
        <v>100</v>
      </c>
    </row>
    <row r="19" spans="1:10" ht="15.75" x14ac:dyDescent="0.2">
      <c r="A19" s="194">
        <v>15</v>
      </c>
      <c r="B19" s="213" t="s">
        <v>173</v>
      </c>
      <c r="C19" s="198">
        <f>COUNTIF('Tc den 11'!$V$26:$V$35,15)+COUNTIF('Tc den 11'!$V$37:$V$50,15)+COUNTIF('Tc den 11'!$V$5:$V$24,15)+COUNTIF('Tc den 11'!$V$52:$V$57,15)+COUNTIF('Tc den 11'!$V$59:$V$64,15)</f>
        <v>2</v>
      </c>
      <c r="D19" s="196">
        <f t="shared" si="0"/>
        <v>3.5714285714285712</v>
      </c>
      <c r="E19" s="180"/>
      <c r="F19" s="211"/>
      <c r="G19" s="197">
        <v>15</v>
      </c>
      <c r="H19" s="213" t="s">
        <v>174</v>
      </c>
      <c r="I19" s="198">
        <f>'Tc den 11'!Q65</f>
        <v>56</v>
      </c>
      <c r="J19" s="196">
        <f t="shared" si="1"/>
        <v>100</v>
      </c>
    </row>
    <row r="20" spans="1:10" ht="15.75" x14ac:dyDescent="0.2">
      <c r="A20" s="194">
        <v>16</v>
      </c>
      <c r="B20" s="213" t="s">
        <v>175</v>
      </c>
      <c r="C20" s="198">
        <f>COUNTIF('Tc den 11'!$V$26:$V$35,16)+COUNTIF('Tc den 11'!$V$37:$V$50,16)+COUNTIF('Tc den 11'!$V$5:$V$24,16)+COUNTIF('Tc den 11'!$V$52:$V$57,16)+COUNTIF('Tc den 11'!$V$59:$V$64,16)</f>
        <v>0</v>
      </c>
      <c r="D20" s="196">
        <f t="shared" si="0"/>
        <v>0</v>
      </c>
      <c r="E20" s="180"/>
      <c r="F20" s="200"/>
      <c r="G20" s="197">
        <v>16</v>
      </c>
      <c r="H20" s="213" t="s">
        <v>176</v>
      </c>
      <c r="I20" s="198">
        <f>'Tc den 11'!R65</f>
        <v>56</v>
      </c>
      <c r="J20" s="196">
        <f t="shared" si="1"/>
        <v>100</v>
      </c>
    </row>
    <row r="21" spans="1:10" ht="15.75" x14ac:dyDescent="0.2">
      <c r="A21" s="194">
        <v>17</v>
      </c>
      <c r="B21" s="213" t="s">
        <v>177</v>
      </c>
      <c r="C21" s="198">
        <f>COUNTIF('Tc den 11'!$V$26:$V$35,17)+COUNTIF('Tc den 11'!$V$37:$V$50,17)+COUNTIF('Tc den 11'!$V$5:$V$24,17)+COUNTIF('Tc den 11'!$V$52:$V$57,17)+COUNTIF('Tc den 11'!$V$59:$V$64,17)</f>
        <v>0</v>
      </c>
      <c r="D21" s="196">
        <f t="shared" si="0"/>
        <v>0</v>
      </c>
      <c r="E21" s="180"/>
      <c r="F21" s="211"/>
      <c r="G21" s="197">
        <v>17</v>
      </c>
      <c r="H21" s="213" t="s">
        <v>178</v>
      </c>
      <c r="I21" s="198">
        <f>'Tc den 11'!S65</f>
        <v>54</v>
      </c>
      <c r="J21" s="257">
        <f t="shared" si="1"/>
        <v>96.428571428571431</v>
      </c>
    </row>
    <row r="22" spans="1:10" ht="15.75" x14ac:dyDescent="0.2">
      <c r="A22" s="194">
        <v>18</v>
      </c>
      <c r="B22" s="213" t="s">
        <v>179</v>
      </c>
      <c r="C22" s="198">
        <f>COUNTIF('Tc den 11'!$V$26:$V$35,18)+COUNTIF('Tc den 11'!$V$37:$V$50,18)+COUNTIF('Tc den 11'!$V$5:$V$24,18)+COUNTIF('Tc den 11'!$V$52:$V$57,18)+COUNTIF('Tc den 11'!$V$59:$V$64,18)</f>
        <v>7</v>
      </c>
      <c r="D22" s="196">
        <f t="shared" si="0"/>
        <v>12.5</v>
      </c>
      <c r="E22" s="180"/>
      <c r="F22" s="200"/>
      <c r="G22" s="197">
        <v>18</v>
      </c>
      <c r="H22" s="213" t="s">
        <v>180</v>
      </c>
      <c r="I22" s="197">
        <f>'Tc den 11'!T65</f>
        <v>49</v>
      </c>
      <c r="J22" s="257">
        <f t="shared" si="1"/>
        <v>87.5</v>
      </c>
    </row>
    <row r="23" spans="1:10" ht="15.75" x14ac:dyDescent="0.2">
      <c r="A23" s="194">
        <v>19</v>
      </c>
      <c r="B23" s="213" t="s">
        <v>181</v>
      </c>
      <c r="C23" s="198">
        <f>COUNTIF('Tc den 11'!$V$26:$V$35,19)+COUNTIF('Tc den 11'!$V$37:$V$50,19)+COUNTIF('Tc den 11'!$V$5:$V$24,19)+COUNTIF('Tc den 11'!$V$52:$V$57,19)+COUNTIF('Tc den 11'!$V$59:$V$64,19)</f>
        <v>47</v>
      </c>
      <c r="D23" s="196">
        <f t="shared" si="0"/>
        <v>83.928571428571431</v>
      </c>
      <c r="E23" s="180"/>
      <c r="F23" s="200"/>
      <c r="G23" s="197">
        <v>19</v>
      </c>
      <c r="H23" s="213" t="s">
        <v>182</v>
      </c>
      <c r="I23" s="197">
        <f>'Tc den 11'!U65</f>
        <v>56</v>
      </c>
      <c r="J23" s="196">
        <f t="shared" si="1"/>
        <v>100</v>
      </c>
    </row>
    <row r="24" spans="1:10" ht="15.75" x14ac:dyDescent="0.2">
      <c r="A24" s="293" t="s">
        <v>98</v>
      </c>
      <c r="B24" s="294"/>
      <c r="C24" s="201">
        <f>SUM(C5:C23)</f>
        <v>56</v>
      </c>
      <c r="D24" s="202">
        <v>100</v>
      </c>
      <c r="E24" s="178"/>
      <c r="F24" s="178"/>
      <c r="G24" s="203"/>
      <c r="H24" s="203"/>
      <c r="I24" s="204"/>
      <c r="J24" s="205"/>
    </row>
  </sheetData>
  <mergeCells count="8">
    <mergeCell ref="A24:B24"/>
    <mergeCell ref="I3:J3"/>
    <mergeCell ref="A3:A4"/>
    <mergeCell ref="B3:B4"/>
    <mergeCell ref="C3:D3"/>
    <mergeCell ref="H3:H4"/>
    <mergeCell ref="F3:F4"/>
    <mergeCell ref="G3:G4"/>
  </mergeCells>
  <printOptions horizontalCentered="1"/>
  <pageMargins left="0.19685039370078741" right="0.19685039370078741" top="0.74803149606299213" bottom="0.74803149606299213" header="0.11811023622047245" footer="0.11811023622047245"/>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zoomScaleNormal="100" workbookViewId="0">
      <pane xSplit="2" ySplit="4" topLeftCell="C23" activePane="bottomRight" state="frozen"/>
      <selection pane="topRight" activeCell="C1" sqref="C1"/>
      <selection pane="bottomLeft" activeCell="A5" sqref="A5"/>
      <selection pane="bottomRight" activeCell="V18" sqref="V18"/>
    </sheetView>
  </sheetViews>
  <sheetFormatPr defaultRowHeight="12.75" x14ac:dyDescent="0.2"/>
  <cols>
    <col min="1" max="1" width="3.5703125" style="48" bestFit="1" customWidth="1"/>
    <col min="2" max="2" width="21.140625" style="48" customWidth="1"/>
    <col min="3" max="3" width="8.5703125" style="48" customWidth="1"/>
    <col min="4" max="4" width="7.85546875" style="48" customWidth="1"/>
    <col min="5" max="5" width="7.140625" style="48" customWidth="1"/>
    <col min="6" max="6" width="8.85546875" style="48" bestFit="1" customWidth="1"/>
    <col min="7" max="7" width="7.42578125" style="48" customWidth="1"/>
    <col min="8" max="8" width="8.5703125" style="48" customWidth="1"/>
    <col min="9" max="9" width="8.28515625" style="48" customWidth="1"/>
    <col min="10" max="10" width="7.85546875" style="102" customWidth="1"/>
    <col min="11" max="11" width="7.7109375" style="48" bestFit="1" customWidth="1"/>
    <col min="12" max="12" width="9" style="48" customWidth="1"/>
    <col min="13" max="13" width="7.7109375" style="126" bestFit="1" customWidth="1"/>
    <col min="14" max="14" width="8.42578125" style="126" customWidth="1"/>
    <col min="15" max="16" width="7.5703125" style="48" customWidth="1"/>
    <col min="17" max="17" width="9" style="48" customWidth="1"/>
    <col min="18" max="18" width="7.7109375" style="48" bestFit="1" customWidth="1"/>
    <col min="19" max="19" width="8.140625" style="48" customWidth="1"/>
    <col min="20" max="21" width="7.7109375" style="48" customWidth="1"/>
    <col min="22" max="22" width="7.140625" style="48" customWidth="1"/>
    <col min="23" max="23" width="9.140625" style="48"/>
    <col min="24" max="24" width="9.85546875" style="48" bestFit="1" customWidth="1"/>
    <col min="25" max="16384" width="9.140625" style="48"/>
  </cols>
  <sheetData>
    <row r="1" spans="1:22" ht="35.25" customHeight="1" x14ac:dyDescent="0.2">
      <c r="A1" s="308" t="s">
        <v>140</v>
      </c>
      <c r="B1" s="308"/>
      <c r="C1" s="308"/>
      <c r="D1" s="308"/>
      <c r="E1" s="308"/>
      <c r="F1" s="308"/>
      <c r="G1" s="308"/>
      <c r="H1" s="308"/>
      <c r="I1" s="308"/>
      <c r="J1" s="308"/>
      <c r="K1" s="308"/>
      <c r="L1" s="308"/>
      <c r="M1" s="308"/>
      <c r="N1" s="308"/>
      <c r="O1" s="308"/>
      <c r="P1" s="308"/>
      <c r="Q1" s="308"/>
      <c r="R1" s="308"/>
      <c r="S1" s="308"/>
      <c r="T1" s="308"/>
      <c r="U1" s="308"/>
      <c r="V1" s="308"/>
    </row>
    <row r="2" spans="1:22" s="94" customFormat="1" ht="83.25" customHeight="1" x14ac:dyDescent="0.2">
      <c r="A2" s="91" t="s">
        <v>76</v>
      </c>
      <c r="B2" s="131" t="s">
        <v>137</v>
      </c>
      <c r="C2" s="4" t="s">
        <v>0</v>
      </c>
      <c r="D2" s="4" t="s">
        <v>1</v>
      </c>
      <c r="E2" s="4" t="s">
        <v>2</v>
      </c>
      <c r="F2" s="91" t="s">
        <v>3</v>
      </c>
      <c r="G2" s="4" t="s">
        <v>4</v>
      </c>
      <c r="H2" s="4" t="s">
        <v>5</v>
      </c>
      <c r="I2" s="4" t="s">
        <v>101</v>
      </c>
      <c r="J2" s="92" t="s">
        <v>100</v>
      </c>
      <c r="K2" s="4" t="s">
        <v>6</v>
      </c>
      <c r="L2" s="4" t="s">
        <v>183</v>
      </c>
      <c r="M2" s="4" t="s">
        <v>8</v>
      </c>
      <c r="N2" s="4" t="s">
        <v>102</v>
      </c>
      <c r="O2" s="4" t="s">
        <v>141</v>
      </c>
      <c r="P2" s="4" t="s">
        <v>104</v>
      </c>
      <c r="Q2" s="93" t="s">
        <v>139</v>
      </c>
      <c r="R2" s="4" t="s">
        <v>10</v>
      </c>
      <c r="S2" s="4" t="s">
        <v>105</v>
      </c>
      <c r="T2" s="4" t="s">
        <v>106</v>
      </c>
      <c r="U2" s="4" t="s">
        <v>107</v>
      </c>
      <c r="V2" s="4" t="s">
        <v>138</v>
      </c>
    </row>
    <row r="3" spans="1:22" s="97" customFormat="1" ht="8.25" customHeight="1" x14ac:dyDescent="0.2">
      <c r="A3" s="95"/>
      <c r="B3" s="96"/>
      <c r="C3" s="139">
        <v>1</v>
      </c>
      <c r="D3" s="139">
        <v>2</v>
      </c>
      <c r="E3" s="139">
        <v>3</v>
      </c>
      <c r="F3" s="139">
        <v>4</v>
      </c>
      <c r="G3" s="139">
        <v>5</v>
      </c>
      <c r="H3" s="139">
        <v>6</v>
      </c>
      <c r="I3" s="139">
        <v>7</v>
      </c>
      <c r="J3" s="140">
        <v>8</v>
      </c>
      <c r="K3" s="139">
        <v>9</v>
      </c>
      <c r="L3" s="139">
        <v>10</v>
      </c>
      <c r="M3" s="140">
        <v>11</v>
      </c>
      <c r="N3" s="140">
        <v>12</v>
      </c>
      <c r="O3" s="139">
        <v>13</v>
      </c>
      <c r="P3" s="139">
        <v>14</v>
      </c>
      <c r="Q3" s="139">
        <v>15</v>
      </c>
      <c r="R3" s="139">
        <v>16</v>
      </c>
      <c r="S3" s="139">
        <v>17</v>
      </c>
      <c r="T3" s="139">
        <v>18</v>
      </c>
      <c r="U3" s="139">
        <v>19</v>
      </c>
      <c r="V3" s="139">
        <v>20</v>
      </c>
    </row>
    <row r="4" spans="1:22" s="99" customFormat="1" ht="20.25" customHeight="1" x14ac:dyDescent="0.2">
      <c r="A4" s="309" t="s">
        <v>13</v>
      </c>
      <c r="B4" s="310"/>
      <c r="C4" s="160">
        <f t="shared" ref="C4:U4" si="0">COUNTIF(C5:C24,"X")</f>
        <v>20</v>
      </c>
      <c r="D4" s="160">
        <f t="shared" si="0"/>
        <v>20</v>
      </c>
      <c r="E4" s="160">
        <f t="shared" si="0"/>
        <v>20</v>
      </c>
      <c r="F4" s="160">
        <f t="shared" si="0"/>
        <v>20</v>
      </c>
      <c r="G4" s="160">
        <f t="shared" si="0"/>
        <v>11</v>
      </c>
      <c r="H4" s="160">
        <f t="shared" si="0"/>
        <v>19</v>
      </c>
      <c r="I4" s="160">
        <f t="shared" si="0"/>
        <v>20</v>
      </c>
      <c r="J4" s="160">
        <f t="shared" si="0"/>
        <v>20</v>
      </c>
      <c r="K4" s="160">
        <f t="shared" si="0"/>
        <v>20</v>
      </c>
      <c r="L4" s="160">
        <f t="shared" si="0"/>
        <v>5</v>
      </c>
      <c r="M4" s="160">
        <f t="shared" si="0"/>
        <v>19</v>
      </c>
      <c r="N4" s="160">
        <f t="shared" si="0"/>
        <v>20</v>
      </c>
      <c r="O4" s="160">
        <f t="shared" si="0"/>
        <v>15</v>
      </c>
      <c r="P4" s="160">
        <f t="shared" si="0"/>
        <v>20</v>
      </c>
      <c r="Q4" s="160">
        <f t="shared" si="0"/>
        <v>7</v>
      </c>
      <c r="R4" s="160">
        <f t="shared" si="0"/>
        <v>20</v>
      </c>
      <c r="S4" s="160">
        <f t="shared" si="0"/>
        <v>10</v>
      </c>
      <c r="T4" s="160">
        <f t="shared" si="0"/>
        <v>19</v>
      </c>
      <c r="U4" s="160">
        <f t="shared" si="0"/>
        <v>20</v>
      </c>
      <c r="V4" s="154">
        <f>AVERAGE(V5:V24)</f>
        <v>16.25</v>
      </c>
    </row>
    <row r="5" spans="1:22" s="102" customFormat="1" ht="12.95" customHeight="1" x14ac:dyDescent="0.2">
      <c r="A5" s="98">
        <v>1</v>
      </c>
      <c r="B5" s="148" t="s">
        <v>14</v>
      </c>
      <c r="C5" s="149" t="s">
        <v>99</v>
      </c>
      <c r="D5" s="149" t="s">
        <v>99</v>
      </c>
      <c r="E5" s="149" t="s">
        <v>99</v>
      </c>
      <c r="F5" s="149" t="s">
        <v>99</v>
      </c>
      <c r="G5" s="149"/>
      <c r="H5" s="149" t="s">
        <v>99</v>
      </c>
      <c r="I5" s="149" t="s">
        <v>99</v>
      </c>
      <c r="J5" s="149" t="s">
        <v>99</v>
      </c>
      <c r="K5" s="149" t="s">
        <v>99</v>
      </c>
      <c r="L5" s="132"/>
      <c r="M5" s="149" t="s">
        <v>99</v>
      </c>
      <c r="N5" s="149" t="s">
        <v>99</v>
      </c>
      <c r="O5" s="149" t="s">
        <v>99</v>
      </c>
      <c r="P5" s="132" t="s">
        <v>99</v>
      </c>
      <c r="Q5" s="149"/>
      <c r="R5" s="149" t="s">
        <v>99</v>
      </c>
      <c r="S5" s="149"/>
      <c r="T5" s="149" t="s">
        <v>99</v>
      </c>
      <c r="U5" s="149" t="s">
        <v>99</v>
      </c>
      <c r="V5" s="138">
        <f t="shared" ref="V5:V24" si="1">COUNTIF(C5:U5,"X")</f>
        <v>15</v>
      </c>
    </row>
    <row r="6" spans="1:22" s="102" customFormat="1" ht="12.95" customHeight="1" x14ac:dyDescent="0.2">
      <c r="A6" s="98">
        <v>2</v>
      </c>
      <c r="B6" s="148" t="s">
        <v>25</v>
      </c>
      <c r="C6" s="149" t="s">
        <v>99</v>
      </c>
      <c r="D6" s="149" t="s">
        <v>99</v>
      </c>
      <c r="E6" s="149" t="s">
        <v>99</v>
      </c>
      <c r="F6" s="149" t="s">
        <v>99</v>
      </c>
      <c r="G6" s="149"/>
      <c r="H6" s="149" t="s">
        <v>99</v>
      </c>
      <c r="I6" s="149" t="s">
        <v>99</v>
      </c>
      <c r="J6" s="132" t="s">
        <v>99</v>
      </c>
      <c r="K6" s="149" t="s">
        <v>99</v>
      </c>
      <c r="L6" s="132"/>
      <c r="M6" s="149" t="s">
        <v>99</v>
      </c>
      <c r="N6" s="149" t="s">
        <v>99</v>
      </c>
      <c r="O6" s="149" t="s">
        <v>99</v>
      </c>
      <c r="P6" s="132" t="s">
        <v>99</v>
      </c>
      <c r="Q6" s="149"/>
      <c r="R6" s="149" t="s">
        <v>99</v>
      </c>
      <c r="S6" s="149"/>
      <c r="T6" s="149" t="s">
        <v>99</v>
      </c>
      <c r="U6" s="149" t="s">
        <v>99</v>
      </c>
      <c r="V6" s="138">
        <f t="shared" si="1"/>
        <v>15</v>
      </c>
    </row>
    <row r="7" spans="1:22" s="102" customFormat="1" ht="12.95" customHeight="1" x14ac:dyDescent="0.2">
      <c r="A7" s="98">
        <v>3</v>
      </c>
      <c r="B7" s="148" t="s">
        <v>22</v>
      </c>
      <c r="C7" s="149" t="s">
        <v>99</v>
      </c>
      <c r="D7" s="149" t="s">
        <v>99</v>
      </c>
      <c r="E7" s="149" t="s">
        <v>99</v>
      </c>
      <c r="F7" s="149" t="s">
        <v>99</v>
      </c>
      <c r="G7" s="149"/>
      <c r="H7" s="149" t="s">
        <v>99</v>
      </c>
      <c r="I7" s="149" t="s">
        <v>99</v>
      </c>
      <c r="J7" s="149" t="s">
        <v>99</v>
      </c>
      <c r="K7" s="149" t="s">
        <v>99</v>
      </c>
      <c r="L7" s="132"/>
      <c r="M7" s="149" t="s">
        <v>99</v>
      </c>
      <c r="N7" s="149" t="s">
        <v>99</v>
      </c>
      <c r="O7" s="149" t="s">
        <v>99</v>
      </c>
      <c r="P7" s="132" t="s">
        <v>99</v>
      </c>
      <c r="Q7" s="149"/>
      <c r="R7" s="149" t="s">
        <v>99</v>
      </c>
      <c r="S7" s="149"/>
      <c r="T7" s="149" t="s">
        <v>99</v>
      </c>
      <c r="U7" s="149" t="s">
        <v>99</v>
      </c>
      <c r="V7" s="138">
        <f t="shared" si="1"/>
        <v>15</v>
      </c>
    </row>
    <row r="8" spans="1:22" s="102" customFormat="1" ht="12.95" customHeight="1" x14ac:dyDescent="0.2">
      <c r="A8" s="98">
        <v>4</v>
      </c>
      <c r="B8" s="148" t="s">
        <v>26</v>
      </c>
      <c r="C8" s="149" t="s">
        <v>99</v>
      </c>
      <c r="D8" s="149" t="s">
        <v>99</v>
      </c>
      <c r="E8" s="149" t="s">
        <v>99</v>
      </c>
      <c r="F8" s="149" t="s">
        <v>99</v>
      </c>
      <c r="G8" s="149"/>
      <c r="H8" s="149" t="s">
        <v>99</v>
      </c>
      <c r="I8" s="149" t="s">
        <v>99</v>
      </c>
      <c r="J8" s="149" t="s">
        <v>99</v>
      </c>
      <c r="K8" s="149" t="s">
        <v>99</v>
      </c>
      <c r="L8" s="149" t="s">
        <v>99</v>
      </c>
      <c r="M8" s="149" t="s">
        <v>99</v>
      </c>
      <c r="N8" s="149" t="s">
        <v>99</v>
      </c>
      <c r="O8" s="149" t="s">
        <v>99</v>
      </c>
      <c r="P8" s="149" t="s">
        <v>99</v>
      </c>
      <c r="Q8" s="149" t="s">
        <v>99</v>
      </c>
      <c r="R8" s="149" t="s">
        <v>99</v>
      </c>
      <c r="S8" s="149"/>
      <c r="T8" s="149" t="s">
        <v>99</v>
      </c>
      <c r="U8" s="149" t="s">
        <v>99</v>
      </c>
      <c r="V8" s="138">
        <f t="shared" si="1"/>
        <v>17</v>
      </c>
    </row>
    <row r="9" spans="1:22" s="102" customFormat="1" ht="12.95" customHeight="1" x14ac:dyDescent="0.2">
      <c r="A9" s="98">
        <v>5</v>
      </c>
      <c r="B9" s="148" t="s">
        <v>29</v>
      </c>
      <c r="C9" s="149" t="s">
        <v>99</v>
      </c>
      <c r="D9" s="149" t="s">
        <v>99</v>
      </c>
      <c r="E9" s="149" t="s">
        <v>99</v>
      </c>
      <c r="F9" s="149" t="s">
        <v>99</v>
      </c>
      <c r="G9" s="149" t="s">
        <v>99</v>
      </c>
      <c r="H9" s="149" t="s">
        <v>99</v>
      </c>
      <c r="I9" s="149" t="s">
        <v>99</v>
      </c>
      <c r="J9" s="149" t="s">
        <v>99</v>
      </c>
      <c r="K9" s="149" t="s">
        <v>99</v>
      </c>
      <c r="L9" s="149"/>
      <c r="M9" s="149" t="s">
        <v>99</v>
      </c>
      <c r="N9" s="149" t="s">
        <v>99</v>
      </c>
      <c r="O9" s="149"/>
      <c r="P9" s="149" t="s">
        <v>99</v>
      </c>
      <c r="Q9" s="149"/>
      <c r="R9" s="149" t="s">
        <v>99</v>
      </c>
      <c r="S9" s="149" t="s">
        <v>99</v>
      </c>
      <c r="T9" s="149" t="s">
        <v>99</v>
      </c>
      <c r="U9" s="149" t="s">
        <v>99</v>
      </c>
      <c r="V9" s="138">
        <f t="shared" si="1"/>
        <v>16</v>
      </c>
    </row>
    <row r="10" spans="1:22" s="102" customFormat="1" ht="12.95" customHeight="1" x14ac:dyDescent="0.2">
      <c r="A10" s="98">
        <v>6</v>
      </c>
      <c r="B10" s="148" t="s">
        <v>32</v>
      </c>
      <c r="C10" s="149" t="s">
        <v>99</v>
      </c>
      <c r="D10" s="149" t="s">
        <v>99</v>
      </c>
      <c r="E10" s="149" t="s">
        <v>99</v>
      </c>
      <c r="F10" s="149" t="s">
        <v>99</v>
      </c>
      <c r="G10" s="149"/>
      <c r="H10" s="149" t="s">
        <v>99</v>
      </c>
      <c r="I10" s="149" t="s">
        <v>99</v>
      </c>
      <c r="J10" s="149" t="s">
        <v>99</v>
      </c>
      <c r="K10" s="149" t="s">
        <v>99</v>
      </c>
      <c r="L10" s="132"/>
      <c r="M10" s="149"/>
      <c r="N10" s="149" t="s">
        <v>99</v>
      </c>
      <c r="O10" s="149" t="s">
        <v>99</v>
      </c>
      <c r="P10" s="149" t="s">
        <v>99</v>
      </c>
      <c r="Q10" s="149"/>
      <c r="R10" s="149" t="s">
        <v>99</v>
      </c>
      <c r="S10" s="149" t="s">
        <v>99</v>
      </c>
      <c r="T10" s="149" t="s">
        <v>99</v>
      </c>
      <c r="U10" s="149" t="s">
        <v>99</v>
      </c>
      <c r="V10" s="138">
        <f t="shared" si="1"/>
        <v>15</v>
      </c>
    </row>
    <row r="11" spans="1:22" s="102" customFormat="1" ht="12.95" customHeight="1" x14ac:dyDescent="0.2">
      <c r="A11" s="98">
        <v>7</v>
      </c>
      <c r="B11" s="148" t="s">
        <v>19</v>
      </c>
      <c r="C11" s="149" t="s">
        <v>99</v>
      </c>
      <c r="D11" s="149" t="s">
        <v>99</v>
      </c>
      <c r="E11" s="149" t="s">
        <v>99</v>
      </c>
      <c r="F11" s="149" t="s">
        <v>99</v>
      </c>
      <c r="G11" s="149"/>
      <c r="H11" s="149" t="s">
        <v>99</v>
      </c>
      <c r="I11" s="149" t="s">
        <v>99</v>
      </c>
      <c r="J11" s="132" t="s">
        <v>99</v>
      </c>
      <c r="K11" s="149" t="s">
        <v>99</v>
      </c>
      <c r="L11" s="132"/>
      <c r="M11" s="149" t="s">
        <v>99</v>
      </c>
      <c r="N11" s="149" t="s">
        <v>99</v>
      </c>
      <c r="O11" s="149" t="s">
        <v>99</v>
      </c>
      <c r="P11" s="149" t="s">
        <v>99</v>
      </c>
      <c r="Q11" s="149"/>
      <c r="R11" s="149" t="s">
        <v>99</v>
      </c>
      <c r="S11" s="149" t="s">
        <v>99</v>
      </c>
      <c r="T11" s="149" t="s">
        <v>99</v>
      </c>
      <c r="U11" s="149" t="s">
        <v>99</v>
      </c>
      <c r="V11" s="138">
        <f t="shared" si="1"/>
        <v>16</v>
      </c>
    </row>
    <row r="12" spans="1:22" s="102" customFormat="1" ht="12.95" customHeight="1" x14ac:dyDescent="0.2">
      <c r="A12" s="98">
        <v>8</v>
      </c>
      <c r="B12" s="148" t="s">
        <v>17</v>
      </c>
      <c r="C12" s="149" t="s">
        <v>99</v>
      </c>
      <c r="D12" s="149" t="s">
        <v>99</v>
      </c>
      <c r="E12" s="149" t="s">
        <v>99</v>
      </c>
      <c r="F12" s="149" t="s">
        <v>99</v>
      </c>
      <c r="G12" s="149"/>
      <c r="H12" s="149" t="s">
        <v>99</v>
      </c>
      <c r="I12" s="149" t="s">
        <v>99</v>
      </c>
      <c r="J12" s="149" t="s">
        <v>99</v>
      </c>
      <c r="K12" s="149" t="s">
        <v>99</v>
      </c>
      <c r="L12" s="132"/>
      <c r="M12" s="149" t="s">
        <v>99</v>
      </c>
      <c r="N12" s="149" t="s">
        <v>99</v>
      </c>
      <c r="O12" s="149" t="s">
        <v>99</v>
      </c>
      <c r="P12" s="149" t="s">
        <v>99</v>
      </c>
      <c r="Q12" s="149" t="s">
        <v>99</v>
      </c>
      <c r="R12" s="149" t="s">
        <v>99</v>
      </c>
      <c r="S12" s="149" t="s">
        <v>99</v>
      </c>
      <c r="T12" s="149" t="s">
        <v>99</v>
      </c>
      <c r="U12" s="149" t="s">
        <v>99</v>
      </c>
      <c r="V12" s="138">
        <f t="shared" si="1"/>
        <v>17</v>
      </c>
    </row>
    <row r="13" spans="1:22" s="102" customFormat="1" ht="12.95" customHeight="1" x14ac:dyDescent="0.2">
      <c r="A13" s="98">
        <v>9</v>
      </c>
      <c r="B13" s="148" t="s">
        <v>30</v>
      </c>
      <c r="C13" s="149" t="s">
        <v>99</v>
      </c>
      <c r="D13" s="149" t="s">
        <v>99</v>
      </c>
      <c r="E13" s="149" t="s">
        <v>99</v>
      </c>
      <c r="F13" s="149" t="s">
        <v>99</v>
      </c>
      <c r="G13" s="149" t="s">
        <v>99</v>
      </c>
      <c r="H13" s="149" t="s">
        <v>99</v>
      </c>
      <c r="I13" s="149" t="s">
        <v>99</v>
      </c>
      <c r="J13" s="149" t="s">
        <v>99</v>
      </c>
      <c r="K13" s="149" t="s">
        <v>99</v>
      </c>
      <c r="L13" s="132"/>
      <c r="M13" s="149" t="s">
        <v>99</v>
      </c>
      <c r="N13" s="149" t="s">
        <v>99</v>
      </c>
      <c r="O13" s="149" t="s">
        <v>99</v>
      </c>
      <c r="P13" s="149" t="s">
        <v>99</v>
      </c>
      <c r="Q13" s="149"/>
      <c r="R13" s="149" t="s">
        <v>99</v>
      </c>
      <c r="S13" s="149" t="s">
        <v>99</v>
      </c>
      <c r="T13" s="149" t="s">
        <v>99</v>
      </c>
      <c r="U13" s="149" t="s">
        <v>99</v>
      </c>
      <c r="V13" s="138">
        <f t="shared" si="1"/>
        <v>17</v>
      </c>
    </row>
    <row r="14" spans="1:22" s="102" customFormat="1" x14ac:dyDescent="0.2">
      <c r="A14" s="98">
        <v>10</v>
      </c>
      <c r="B14" s="148" t="s">
        <v>28</v>
      </c>
      <c r="C14" s="149" t="s">
        <v>99</v>
      </c>
      <c r="D14" s="149" t="s">
        <v>99</v>
      </c>
      <c r="E14" s="149" t="s">
        <v>99</v>
      </c>
      <c r="F14" s="149" t="s">
        <v>99</v>
      </c>
      <c r="G14" s="149" t="s">
        <v>99</v>
      </c>
      <c r="H14" s="149" t="s">
        <v>99</v>
      </c>
      <c r="I14" s="149" t="s">
        <v>99</v>
      </c>
      <c r="J14" s="149" t="s">
        <v>99</v>
      </c>
      <c r="K14" s="149" t="s">
        <v>99</v>
      </c>
      <c r="L14" s="132" t="s">
        <v>99</v>
      </c>
      <c r="M14" s="149" t="s">
        <v>99</v>
      </c>
      <c r="N14" s="149" t="s">
        <v>99</v>
      </c>
      <c r="O14" s="149" t="s">
        <v>99</v>
      </c>
      <c r="P14" s="149" t="s">
        <v>99</v>
      </c>
      <c r="Q14" s="149"/>
      <c r="R14" s="149" t="s">
        <v>99</v>
      </c>
      <c r="S14" s="149"/>
      <c r="T14" s="149" t="s">
        <v>99</v>
      </c>
      <c r="U14" s="149" t="s">
        <v>99</v>
      </c>
      <c r="V14" s="138">
        <f t="shared" si="1"/>
        <v>17</v>
      </c>
    </row>
    <row r="15" spans="1:22" s="102" customFormat="1" x14ac:dyDescent="0.2">
      <c r="A15" s="98">
        <v>11</v>
      </c>
      <c r="B15" s="148" t="s">
        <v>33</v>
      </c>
      <c r="C15" s="149" t="s">
        <v>99</v>
      </c>
      <c r="D15" s="149" t="s">
        <v>99</v>
      </c>
      <c r="E15" s="149" t="s">
        <v>99</v>
      </c>
      <c r="F15" s="149" t="s">
        <v>99</v>
      </c>
      <c r="G15" s="149" t="s">
        <v>99</v>
      </c>
      <c r="H15" s="149" t="s">
        <v>99</v>
      </c>
      <c r="I15" s="149" t="s">
        <v>99</v>
      </c>
      <c r="J15" s="149" t="s">
        <v>99</v>
      </c>
      <c r="K15" s="149" t="s">
        <v>99</v>
      </c>
      <c r="L15" s="132"/>
      <c r="M15" s="149" t="s">
        <v>99</v>
      </c>
      <c r="N15" s="149" t="s">
        <v>99</v>
      </c>
      <c r="O15" s="149"/>
      <c r="P15" s="149" t="s">
        <v>99</v>
      </c>
      <c r="Q15" s="149" t="s">
        <v>99</v>
      </c>
      <c r="R15" s="149" t="s">
        <v>99</v>
      </c>
      <c r="S15" s="149" t="s">
        <v>99</v>
      </c>
      <c r="T15" s="149" t="s">
        <v>99</v>
      </c>
      <c r="U15" s="149" t="s">
        <v>99</v>
      </c>
      <c r="V15" s="138">
        <f t="shared" si="1"/>
        <v>17</v>
      </c>
    </row>
    <row r="16" spans="1:22" s="102" customFormat="1" x14ac:dyDescent="0.2">
      <c r="A16" s="98">
        <v>12</v>
      </c>
      <c r="B16" s="148" t="s">
        <v>18</v>
      </c>
      <c r="C16" s="149" t="s">
        <v>99</v>
      </c>
      <c r="D16" s="149" t="s">
        <v>99</v>
      </c>
      <c r="E16" s="149" t="s">
        <v>99</v>
      </c>
      <c r="F16" s="149" t="s">
        <v>99</v>
      </c>
      <c r="G16" s="149"/>
      <c r="H16" s="149" t="s">
        <v>99</v>
      </c>
      <c r="I16" s="149" t="s">
        <v>99</v>
      </c>
      <c r="J16" s="149" t="s">
        <v>99</v>
      </c>
      <c r="K16" s="149" t="s">
        <v>99</v>
      </c>
      <c r="L16" s="132" t="s">
        <v>99</v>
      </c>
      <c r="M16" s="149" t="s">
        <v>99</v>
      </c>
      <c r="N16" s="149" t="s">
        <v>99</v>
      </c>
      <c r="O16" s="149"/>
      <c r="P16" s="149" t="s">
        <v>99</v>
      </c>
      <c r="Q16" s="149"/>
      <c r="R16" s="149" t="s">
        <v>99</v>
      </c>
      <c r="S16" s="149"/>
      <c r="T16" s="149" t="s">
        <v>99</v>
      </c>
      <c r="U16" s="149" t="s">
        <v>99</v>
      </c>
      <c r="V16" s="138">
        <f t="shared" si="1"/>
        <v>15</v>
      </c>
    </row>
    <row r="17" spans="1:24" s="102" customFormat="1" x14ac:dyDescent="0.2">
      <c r="A17" s="98">
        <v>13</v>
      </c>
      <c r="B17" s="148" t="s">
        <v>31</v>
      </c>
      <c r="C17" s="149" t="s">
        <v>99</v>
      </c>
      <c r="D17" s="149" t="s">
        <v>99</v>
      </c>
      <c r="E17" s="149" t="s">
        <v>99</v>
      </c>
      <c r="F17" s="149" t="s">
        <v>99</v>
      </c>
      <c r="G17" s="149"/>
      <c r="H17" s="149" t="s">
        <v>99</v>
      </c>
      <c r="I17" s="149" t="s">
        <v>99</v>
      </c>
      <c r="J17" s="132" t="s">
        <v>99</v>
      </c>
      <c r="K17" s="149" t="s">
        <v>99</v>
      </c>
      <c r="L17" s="132"/>
      <c r="M17" s="149" t="s">
        <v>99</v>
      </c>
      <c r="N17" s="149" t="s">
        <v>99</v>
      </c>
      <c r="O17" s="149"/>
      <c r="P17" s="149" t="s">
        <v>99</v>
      </c>
      <c r="Q17" s="149"/>
      <c r="R17" s="149" t="s">
        <v>99</v>
      </c>
      <c r="S17" s="149"/>
      <c r="T17" s="149" t="s">
        <v>99</v>
      </c>
      <c r="U17" s="149" t="s">
        <v>99</v>
      </c>
      <c r="V17" s="138">
        <f t="shared" si="1"/>
        <v>14</v>
      </c>
    </row>
    <row r="18" spans="1:24" s="102" customFormat="1" x14ac:dyDescent="0.2">
      <c r="A18" s="98">
        <v>14</v>
      </c>
      <c r="B18" s="148" t="s">
        <v>20</v>
      </c>
      <c r="C18" s="149" t="s">
        <v>99</v>
      </c>
      <c r="D18" s="149" t="s">
        <v>99</v>
      </c>
      <c r="E18" s="149" t="s">
        <v>99</v>
      </c>
      <c r="F18" s="149" t="s">
        <v>99</v>
      </c>
      <c r="G18" s="149" t="s">
        <v>99</v>
      </c>
      <c r="H18" s="149"/>
      <c r="I18" s="149" t="s">
        <v>99</v>
      </c>
      <c r="J18" s="149" t="s">
        <v>99</v>
      </c>
      <c r="K18" s="149" t="s">
        <v>99</v>
      </c>
      <c r="L18" s="132" t="s">
        <v>99</v>
      </c>
      <c r="M18" s="149" t="s">
        <v>99</v>
      </c>
      <c r="N18" s="149" t="s">
        <v>99</v>
      </c>
      <c r="O18" s="149" t="s">
        <v>99</v>
      </c>
      <c r="P18" s="132" t="s">
        <v>99</v>
      </c>
      <c r="Q18" s="149"/>
      <c r="R18" s="149" t="s">
        <v>99</v>
      </c>
      <c r="S18" s="149"/>
      <c r="T18" s="149" t="s">
        <v>99</v>
      </c>
      <c r="U18" s="149" t="s">
        <v>99</v>
      </c>
      <c r="V18" s="138">
        <f t="shared" si="1"/>
        <v>16</v>
      </c>
    </row>
    <row r="19" spans="1:24" s="102" customFormat="1" x14ac:dyDescent="0.2">
      <c r="A19" s="98">
        <v>15</v>
      </c>
      <c r="B19" s="148" t="s">
        <v>21</v>
      </c>
      <c r="C19" s="149" t="s">
        <v>99</v>
      </c>
      <c r="D19" s="149" t="s">
        <v>99</v>
      </c>
      <c r="E19" s="149" t="s">
        <v>99</v>
      </c>
      <c r="F19" s="149" t="s">
        <v>99</v>
      </c>
      <c r="G19" s="149" t="s">
        <v>99</v>
      </c>
      <c r="H19" s="149" t="s">
        <v>99</v>
      </c>
      <c r="I19" s="149" t="s">
        <v>99</v>
      </c>
      <c r="J19" s="149" t="s">
        <v>99</v>
      </c>
      <c r="K19" s="149" t="s">
        <v>99</v>
      </c>
      <c r="L19" s="149" t="s">
        <v>99</v>
      </c>
      <c r="M19" s="149" t="s">
        <v>99</v>
      </c>
      <c r="N19" s="149" t="s">
        <v>99</v>
      </c>
      <c r="O19" s="149" t="s">
        <v>99</v>
      </c>
      <c r="P19" s="149" t="s">
        <v>99</v>
      </c>
      <c r="Q19" s="149" t="s">
        <v>99</v>
      </c>
      <c r="R19" s="149" t="s">
        <v>99</v>
      </c>
      <c r="S19" s="149" t="s">
        <v>99</v>
      </c>
      <c r="T19" s="149"/>
      <c r="U19" s="149" t="s">
        <v>99</v>
      </c>
      <c r="V19" s="138">
        <f t="shared" si="1"/>
        <v>18</v>
      </c>
    </row>
    <row r="20" spans="1:24" s="102" customFormat="1" x14ac:dyDescent="0.2">
      <c r="A20" s="98">
        <v>16</v>
      </c>
      <c r="B20" s="148" t="s">
        <v>23</v>
      </c>
      <c r="C20" s="149" t="s">
        <v>99</v>
      </c>
      <c r="D20" s="149" t="s">
        <v>99</v>
      </c>
      <c r="E20" s="149" t="s">
        <v>99</v>
      </c>
      <c r="F20" s="149" t="s">
        <v>99</v>
      </c>
      <c r="G20" s="149" t="s">
        <v>99</v>
      </c>
      <c r="H20" s="149" t="s">
        <v>99</v>
      </c>
      <c r="I20" s="149" t="s">
        <v>99</v>
      </c>
      <c r="J20" s="149" t="s">
        <v>99</v>
      </c>
      <c r="K20" s="149" t="s">
        <v>99</v>
      </c>
      <c r="L20" s="132"/>
      <c r="M20" s="149" t="s">
        <v>99</v>
      </c>
      <c r="N20" s="149" t="s">
        <v>99</v>
      </c>
      <c r="O20" s="149" t="s">
        <v>99</v>
      </c>
      <c r="P20" s="132" t="s">
        <v>99</v>
      </c>
      <c r="Q20" s="149"/>
      <c r="R20" s="149" t="s">
        <v>99</v>
      </c>
      <c r="S20" s="149"/>
      <c r="T20" s="149" t="s">
        <v>99</v>
      </c>
      <c r="U20" s="149" t="s">
        <v>99</v>
      </c>
      <c r="V20" s="138">
        <f t="shared" si="1"/>
        <v>16</v>
      </c>
    </row>
    <row r="21" spans="1:24" s="102" customFormat="1" x14ac:dyDescent="0.2">
      <c r="A21" s="98">
        <v>17</v>
      </c>
      <c r="B21" s="148" t="s">
        <v>16</v>
      </c>
      <c r="C21" s="149" t="s">
        <v>99</v>
      </c>
      <c r="D21" s="149" t="s">
        <v>99</v>
      </c>
      <c r="E21" s="149" t="s">
        <v>99</v>
      </c>
      <c r="F21" s="149" t="s">
        <v>99</v>
      </c>
      <c r="G21" s="149" t="s">
        <v>99</v>
      </c>
      <c r="H21" s="149" t="s">
        <v>99</v>
      </c>
      <c r="I21" s="149" t="s">
        <v>99</v>
      </c>
      <c r="J21" s="149" t="s">
        <v>99</v>
      </c>
      <c r="K21" s="149" t="s">
        <v>99</v>
      </c>
      <c r="L21" s="132"/>
      <c r="M21" s="149" t="s">
        <v>99</v>
      </c>
      <c r="N21" s="149" t="s">
        <v>99</v>
      </c>
      <c r="O21" s="149"/>
      <c r="P21" s="132" t="s">
        <v>99</v>
      </c>
      <c r="Q21" s="149"/>
      <c r="R21" s="149" t="s">
        <v>99</v>
      </c>
      <c r="S21" s="149" t="s">
        <v>99</v>
      </c>
      <c r="T21" s="149" t="s">
        <v>99</v>
      </c>
      <c r="U21" s="149" t="s">
        <v>99</v>
      </c>
      <c r="V21" s="138">
        <f t="shared" si="1"/>
        <v>16</v>
      </c>
    </row>
    <row r="22" spans="1:24" s="102" customFormat="1" x14ac:dyDescent="0.2">
      <c r="A22" s="98">
        <v>18</v>
      </c>
      <c r="B22" s="148" t="s">
        <v>24</v>
      </c>
      <c r="C22" s="149" t="s">
        <v>99</v>
      </c>
      <c r="D22" s="149" t="s">
        <v>99</v>
      </c>
      <c r="E22" s="149" t="s">
        <v>99</v>
      </c>
      <c r="F22" s="149" t="s">
        <v>99</v>
      </c>
      <c r="G22" s="149" t="s">
        <v>99</v>
      </c>
      <c r="H22" s="149" t="s">
        <v>99</v>
      </c>
      <c r="I22" s="149" t="s">
        <v>99</v>
      </c>
      <c r="J22" s="149" t="s">
        <v>99</v>
      </c>
      <c r="K22" s="149" t="s">
        <v>99</v>
      </c>
      <c r="L22" s="132"/>
      <c r="M22" s="149" t="s">
        <v>99</v>
      </c>
      <c r="N22" s="149" t="s">
        <v>99</v>
      </c>
      <c r="O22" s="149" t="s">
        <v>99</v>
      </c>
      <c r="P22" s="132" t="s">
        <v>99</v>
      </c>
      <c r="Q22" s="149" t="s">
        <v>99</v>
      </c>
      <c r="R22" s="149" t="s">
        <v>99</v>
      </c>
      <c r="S22" s="149" t="s">
        <v>99</v>
      </c>
      <c r="T22" s="149" t="s">
        <v>99</v>
      </c>
      <c r="U22" s="149" t="s">
        <v>99</v>
      </c>
      <c r="V22" s="138">
        <f t="shared" si="1"/>
        <v>18</v>
      </c>
    </row>
    <row r="23" spans="1:24" s="102" customFormat="1" x14ac:dyDescent="0.2">
      <c r="A23" s="98">
        <v>19</v>
      </c>
      <c r="B23" s="148" t="s">
        <v>27</v>
      </c>
      <c r="C23" s="149" t="s">
        <v>99</v>
      </c>
      <c r="D23" s="149" t="s">
        <v>99</v>
      </c>
      <c r="E23" s="149" t="s">
        <v>99</v>
      </c>
      <c r="F23" s="149" t="s">
        <v>99</v>
      </c>
      <c r="G23" s="149" t="s">
        <v>99</v>
      </c>
      <c r="H23" s="149" t="s">
        <v>99</v>
      </c>
      <c r="I23" s="149" t="s">
        <v>99</v>
      </c>
      <c r="J23" s="132" t="s">
        <v>99</v>
      </c>
      <c r="K23" s="149" t="s">
        <v>99</v>
      </c>
      <c r="L23" s="132"/>
      <c r="M23" s="149" t="s">
        <v>99</v>
      </c>
      <c r="N23" s="149" t="s">
        <v>99</v>
      </c>
      <c r="O23" s="149" t="s">
        <v>99</v>
      </c>
      <c r="P23" s="132" t="s">
        <v>99</v>
      </c>
      <c r="Q23" s="149" t="s">
        <v>99</v>
      </c>
      <c r="R23" s="149" t="s">
        <v>99</v>
      </c>
      <c r="S23" s="149"/>
      <c r="T23" s="149" t="s">
        <v>99</v>
      </c>
      <c r="U23" s="149" t="s">
        <v>99</v>
      </c>
      <c r="V23" s="138">
        <f t="shared" si="1"/>
        <v>17</v>
      </c>
    </row>
    <row r="24" spans="1:24" s="102" customFormat="1" ht="12.95" customHeight="1" x14ac:dyDescent="0.2">
      <c r="A24" s="98">
        <v>20</v>
      </c>
      <c r="B24" s="148" t="s">
        <v>15</v>
      </c>
      <c r="C24" s="149" t="s">
        <v>99</v>
      </c>
      <c r="D24" s="149" t="s">
        <v>99</v>
      </c>
      <c r="E24" s="149" t="s">
        <v>99</v>
      </c>
      <c r="F24" s="149" t="s">
        <v>99</v>
      </c>
      <c r="G24" s="149" t="s">
        <v>99</v>
      </c>
      <c r="H24" s="149" t="s">
        <v>99</v>
      </c>
      <c r="I24" s="149" t="s">
        <v>99</v>
      </c>
      <c r="J24" s="132" t="s">
        <v>99</v>
      </c>
      <c r="K24" s="149" t="s">
        <v>99</v>
      </c>
      <c r="L24" s="132"/>
      <c r="M24" s="149" t="s">
        <v>99</v>
      </c>
      <c r="N24" s="149" t="s">
        <v>99</v>
      </c>
      <c r="O24" s="149" t="s">
        <v>99</v>
      </c>
      <c r="P24" s="132" t="s">
        <v>99</v>
      </c>
      <c r="Q24" s="149" t="s">
        <v>99</v>
      </c>
      <c r="R24" s="149" t="s">
        <v>99</v>
      </c>
      <c r="S24" s="149" t="s">
        <v>99</v>
      </c>
      <c r="T24" s="149" t="s">
        <v>99</v>
      </c>
      <c r="U24" s="149" t="s">
        <v>99</v>
      </c>
      <c r="V24" s="138">
        <f t="shared" si="1"/>
        <v>18</v>
      </c>
    </row>
    <row r="25" spans="1:24" s="106" customFormat="1" ht="30.75" customHeight="1" x14ac:dyDescent="0.3">
      <c r="A25" s="311" t="s">
        <v>142</v>
      </c>
      <c r="B25" s="312"/>
      <c r="C25" s="160" t="e">
        <f>C4+#REF!+#REF!+#REF!+#REF!</f>
        <v>#REF!</v>
      </c>
      <c r="D25" s="160" t="e">
        <f>D4+#REF!+#REF!+#REF!+#REF!</f>
        <v>#REF!</v>
      </c>
      <c r="E25" s="160" t="e">
        <f>E4+#REF!+#REF!+#REF!+#REF!</f>
        <v>#REF!</v>
      </c>
      <c r="F25" s="160" t="e">
        <f>F4+#REF!+#REF!+#REF!+#REF!</f>
        <v>#REF!</v>
      </c>
      <c r="G25" s="160" t="e">
        <f>G4+#REF!+#REF!+#REF!+#REF!</f>
        <v>#REF!</v>
      </c>
      <c r="H25" s="160" t="e">
        <f>H4+#REF!+#REF!+#REF!+#REF!</f>
        <v>#REF!</v>
      </c>
      <c r="I25" s="160" t="e">
        <f>I4+#REF!+#REF!+#REF!+#REF!</f>
        <v>#REF!</v>
      </c>
      <c r="J25" s="160" t="e">
        <f>J4+#REF!+#REF!+#REF!+#REF!</f>
        <v>#REF!</v>
      </c>
      <c r="K25" s="160" t="e">
        <f>K4+#REF!+#REF!+#REF!+#REF!</f>
        <v>#REF!</v>
      </c>
      <c r="L25" s="160" t="e">
        <f>L4+#REF!+#REF!+#REF!+#REF!</f>
        <v>#REF!</v>
      </c>
      <c r="M25" s="160" t="e">
        <f>M4+#REF!+#REF!+#REF!+#REF!</f>
        <v>#REF!</v>
      </c>
      <c r="N25" s="160" t="e">
        <f>N4+#REF!+#REF!+#REF!+#REF!</f>
        <v>#REF!</v>
      </c>
      <c r="O25" s="160" t="e">
        <f>O4+#REF!+#REF!+#REF!+#REF!</f>
        <v>#REF!</v>
      </c>
      <c r="P25" s="160" t="e">
        <f>P4+#REF!+#REF!+#REF!+#REF!</f>
        <v>#REF!</v>
      </c>
      <c r="Q25" s="160" t="e">
        <f>Q4+#REF!+#REF!+#REF!+#REF!</f>
        <v>#REF!</v>
      </c>
      <c r="R25" s="160" t="e">
        <f>R4+#REF!+#REF!+#REF!+#REF!</f>
        <v>#REF!</v>
      </c>
      <c r="S25" s="160" t="e">
        <f>S4+#REF!+#REF!+#REF!+#REF!</f>
        <v>#REF!</v>
      </c>
      <c r="T25" s="160" t="e">
        <f>T4+#REF!+#REF!+#REF!+#REF!</f>
        <v>#REF!</v>
      </c>
      <c r="U25" s="98" t="e">
        <f>U4+#REF!+#REF!+#REF!+#REF!</f>
        <v>#REF!</v>
      </c>
      <c r="V25" s="155" t="e">
        <f>(SUM(#REF!)+SUM(#REF!)+SUM(#REF!)+SUM(#REF!)+SUM(V5:V24))/56</f>
        <v>#REF!</v>
      </c>
      <c r="W25" s="105"/>
      <c r="X25" s="137"/>
    </row>
    <row r="26" spans="1:24" s="107" customFormat="1" ht="21" customHeight="1" x14ac:dyDescent="0.2">
      <c r="A26" s="313" t="s">
        <v>143</v>
      </c>
      <c r="B26" s="314"/>
      <c r="C26" s="144" t="e">
        <f t="shared" ref="C26:U26" si="2">100*C25/56</f>
        <v>#REF!</v>
      </c>
      <c r="D26" s="145" t="e">
        <f t="shared" si="2"/>
        <v>#REF!</v>
      </c>
      <c r="E26" s="145" t="e">
        <f t="shared" si="2"/>
        <v>#REF!</v>
      </c>
      <c r="F26" s="144" t="e">
        <f t="shared" si="2"/>
        <v>#REF!</v>
      </c>
      <c r="G26" s="145" t="e">
        <f t="shared" si="2"/>
        <v>#REF!</v>
      </c>
      <c r="H26" s="145" t="e">
        <f t="shared" si="2"/>
        <v>#REF!</v>
      </c>
      <c r="I26" s="144" t="e">
        <f t="shared" si="2"/>
        <v>#REF!</v>
      </c>
      <c r="J26" s="144" t="e">
        <f t="shared" si="2"/>
        <v>#REF!</v>
      </c>
      <c r="K26" s="145" t="e">
        <f t="shared" si="2"/>
        <v>#REF!</v>
      </c>
      <c r="L26" s="145" t="e">
        <f t="shared" si="2"/>
        <v>#REF!</v>
      </c>
      <c r="M26" s="144" t="e">
        <f t="shared" si="2"/>
        <v>#REF!</v>
      </c>
      <c r="N26" s="144" t="e">
        <f t="shared" si="2"/>
        <v>#REF!</v>
      </c>
      <c r="O26" s="145" t="e">
        <f t="shared" si="2"/>
        <v>#REF!</v>
      </c>
      <c r="P26" s="145" t="e">
        <f t="shared" si="2"/>
        <v>#REF!</v>
      </c>
      <c r="Q26" s="145" t="e">
        <f>100*Q25/56</f>
        <v>#REF!</v>
      </c>
      <c r="R26" s="144" t="e">
        <f t="shared" si="2"/>
        <v>#REF!</v>
      </c>
      <c r="S26" s="145" t="e">
        <f t="shared" si="2"/>
        <v>#REF!</v>
      </c>
      <c r="T26" s="145" t="e">
        <f t="shared" si="2"/>
        <v>#REF!</v>
      </c>
      <c r="U26" s="143" t="e">
        <f t="shared" si="2"/>
        <v>#REF!</v>
      </c>
      <c r="V26" s="142"/>
    </row>
    <row r="27" spans="1:24" s="107" customFormat="1" ht="16.5" customHeight="1" x14ac:dyDescent="0.2">
      <c r="A27" s="315" t="s">
        <v>184</v>
      </c>
      <c r="B27" s="316"/>
      <c r="C27" s="316"/>
      <c r="D27" s="316"/>
      <c r="E27" s="316"/>
      <c r="F27" s="316"/>
      <c r="G27" s="316"/>
      <c r="H27" s="316"/>
      <c r="I27" s="316"/>
      <c r="J27" s="316"/>
      <c r="K27" s="316"/>
      <c r="L27" s="316"/>
      <c r="M27" s="316"/>
      <c r="N27" s="316"/>
      <c r="O27" s="316"/>
      <c r="P27" s="316"/>
      <c r="Q27" s="316"/>
      <c r="R27" s="316"/>
      <c r="S27" s="316"/>
      <c r="T27" s="316"/>
      <c r="U27" s="316"/>
      <c r="V27" s="317"/>
    </row>
    <row r="28" spans="1:24" ht="18.75" x14ac:dyDescent="0.3">
      <c r="K28" s="108"/>
      <c r="L28" s="108"/>
      <c r="M28" s="109"/>
      <c r="N28" s="109"/>
      <c r="O28" s="108"/>
      <c r="P28" s="108"/>
      <c r="Q28" s="108"/>
      <c r="R28" s="108"/>
      <c r="S28" s="108"/>
      <c r="T28" s="108"/>
      <c r="U28" s="108"/>
      <c r="V28" s="110"/>
    </row>
    <row r="29" spans="1:24" ht="31.5" customHeight="1" x14ac:dyDescent="0.2">
      <c r="C29" s="304" t="s">
        <v>76</v>
      </c>
      <c r="D29" s="304" t="s">
        <v>77</v>
      </c>
      <c r="E29" s="304"/>
      <c r="F29" s="304"/>
      <c r="G29" s="304"/>
      <c r="H29" s="305" t="s">
        <v>185</v>
      </c>
      <c r="I29" s="306"/>
      <c r="K29" s="307"/>
      <c r="L29" s="304" t="s">
        <v>76</v>
      </c>
      <c r="M29" s="304" t="s">
        <v>77</v>
      </c>
      <c r="N29" s="304"/>
      <c r="O29" s="304"/>
      <c r="P29" s="305" t="s">
        <v>185</v>
      </c>
      <c r="Q29" s="306"/>
    </row>
    <row r="30" spans="1:24" ht="28.5" customHeight="1" x14ac:dyDescent="0.2">
      <c r="C30" s="304"/>
      <c r="D30" s="304"/>
      <c r="E30" s="304"/>
      <c r="F30" s="304"/>
      <c r="G30" s="304"/>
      <c r="H30" s="111" t="s">
        <v>144</v>
      </c>
      <c r="I30" s="111" t="s">
        <v>80</v>
      </c>
      <c r="K30" s="307"/>
      <c r="L30" s="304"/>
      <c r="M30" s="304"/>
      <c r="N30" s="304"/>
      <c r="O30" s="304"/>
      <c r="P30" s="111" t="s">
        <v>144</v>
      </c>
      <c r="Q30" s="111" t="s">
        <v>80</v>
      </c>
    </row>
    <row r="31" spans="1:24" ht="15.75" x14ac:dyDescent="0.2">
      <c r="C31" s="112">
        <v>1</v>
      </c>
      <c r="D31" s="298" t="s">
        <v>145</v>
      </c>
      <c r="E31" s="299"/>
      <c r="F31" s="299"/>
      <c r="G31" s="300"/>
      <c r="H31" s="156">
        <f>COUNTIF($V$5:$V$24,1)</f>
        <v>0</v>
      </c>
      <c r="I31" s="113" t="e">
        <f t="shared" ref="I31:I49" si="3">H31/$H$50*100</f>
        <v>#REF!</v>
      </c>
      <c r="K31" s="158"/>
      <c r="L31" s="85">
        <v>1</v>
      </c>
      <c r="M31" s="298" t="s">
        <v>146</v>
      </c>
      <c r="N31" s="299"/>
      <c r="O31" s="300"/>
      <c r="P31" s="114" t="e">
        <f>C25</f>
        <v>#REF!</v>
      </c>
      <c r="Q31" s="113" t="e">
        <f t="shared" ref="Q31:Q49" si="4">P31/$H$50*100</f>
        <v>#REF!</v>
      </c>
    </row>
    <row r="32" spans="1:24" ht="15.75" x14ac:dyDescent="0.2">
      <c r="C32" s="112">
        <v>2</v>
      </c>
      <c r="D32" s="298" t="s">
        <v>147</v>
      </c>
      <c r="E32" s="299"/>
      <c r="F32" s="299"/>
      <c r="G32" s="300"/>
      <c r="H32" s="114">
        <f>COUNTIF($V$5:$V$24,2)</f>
        <v>0</v>
      </c>
      <c r="I32" s="113" t="e">
        <f t="shared" si="3"/>
        <v>#REF!</v>
      </c>
      <c r="K32" s="158"/>
      <c r="L32" s="85">
        <v>2</v>
      </c>
      <c r="M32" s="298" t="s">
        <v>148</v>
      </c>
      <c r="N32" s="299"/>
      <c r="O32" s="300"/>
      <c r="P32" s="114" t="e">
        <f>D25</f>
        <v>#REF!</v>
      </c>
      <c r="Q32" s="113" t="e">
        <f t="shared" si="4"/>
        <v>#REF!</v>
      </c>
    </row>
    <row r="33" spans="3:20" s="115" customFormat="1" ht="18" customHeight="1" x14ac:dyDescent="0.2">
      <c r="C33" s="112">
        <v>3</v>
      </c>
      <c r="D33" s="298" t="s">
        <v>149</v>
      </c>
      <c r="E33" s="299"/>
      <c r="F33" s="299"/>
      <c r="G33" s="300"/>
      <c r="H33" s="114">
        <f>COUNTIF($V$5:$V$24,3)</f>
        <v>0</v>
      </c>
      <c r="I33" s="113" t="e">
        <f t="shared" si="3"/>
        <v>#REF!</v>
      </c>
      <c r="J33" s="116"/>
      <c r="K33" s="158"/>
      <c r="L33" s="85">
        <v>3</v>
      </c>
      <c r="M33" s="298" t="s">
        <v>150</v>
      </c>
      <c r="N33" s="299"/>
      <c r="O33" s="300"/>
      <c r="P33" s="114" t="e">
        <f>E25</f>
        <v>#REF!</v>
      </c>
      <c r="Q33" s="113" t="e">
        <f t="shared" si="4"/>
        <v>#REF!</v>
      </c>
      <c r="T33" s="117"/>
    </row>
    <row r="34" spans="3:20" s="115" customFormat="1" ht="18" customHeight="1" x14ac:dyDescent="0.2">
      <c r="C34" s="112">
        <v>4</v>
      </c>
      <c r="D34" s="298" t="s">
        <v>151</v>
      </c>
      <c r="E34" s="299"/>
      <c r="F34" s="299"/>
      <c r="G34" s="300"/>
      <c r="H34" s="114" t="e">
        <f>COUNTIF(#REF!,4)+COUNTIF(#REF!,4)+COUNTIF($V$5:$V$24,4)+COUNTIF(#REF!,4)+COUNTIF(#REF!,4)</f>
        <v>#REF!</v>
      </c>
      <c r="I34" s="113" t="e">
        <f t="shared" si="3"/>
        <v>#REF!</v>
      </c>
      <c r="J34" s="116"/>
      <c r="K34" s="158"/>
      <c r="L34" s="85">
        <v>4</v>
      </c>
      <c r="M34" s="298" t="s">
        <v>152</v>
      </c>
      <c r="N34" s="299"/>
      <c r="O34" s="300"/>
      <c r="P34" s="114" t="e">
        <f>F25</f>
        <v>#REF!</v>
      </c>
      <c r="Q34" s="113" t="e">
        <f t="shared" si="4"/>
        <v>#REF!</v>
      </c>
      <c r="T34" s="117"/>
    </row>
    <row r="35" spans="3:20" s="115" customFormat="1" ht="18" customHeight="1" x14ac:dyDescent="0.2">
      <c r="C35" s="112">
        <v>5</v>
      </c>
      <c r="D35" s="298" t="s">
        <v>153</v>
      </c>
      <c r="E35" s="299"/>
      <c r="F35" s="299"/>
      <c r="G35" s="300"/>
      <c r="H35" s="114" t="e">
        <f>COUNTIF(#REF!,5)+COUNTIF(#REF!,5)+COUNTIF($V$5:$V$24,5)+COUNTIF(#REF!,5)+COUNTIF(#REF!,5)</f>
        <v>#REF!</v>
      </c>
      <c r="I35" s="113" t="e">
        <f t="shared" si="3"/>
        <v>#REF!</v>
      </c>
      <c r="J35" s="118"/>
      <c r="K35" s="158"/>
      <c r="L35" s="85">
        <v>5</v>
      </c>
      <c r="M35" s="298" t="s">
        <v>154</v>
      </c>
      <c r="N35" s="299"/>
      <c r="O35" s="300"/>
      <c r="P35" s="114" t="e">
        <f>G25</f>
        <v>#REF!</v>
      </c>
      <c r="Q35" s="113" t="e">
        <f t="shared" si="4"/>
        <v>#REF!</v>
      </c>
      <c r="T35" s="117"/>
    </row>
    <row r="36" spans="3:20" s="115" customFormat="1" ht="18" customHeight="1" x14ac:dyDescent="0.2">
      <c r="C36" s="112">
        <v>6</v>
      </c>
      <c r="D36" s="298" t="s">
        <v>155</v>
      </c>
      <c r="E36" s="299"/>
      <c r="F36" s="299"/>
      <c r="G36" s="300"/>
      <c r="H36" s="114" t="e">
        <f>COUNTIF(#REF!,6)+COUNTIF(#REF!,6)+COUNTIF($V$5:$V$24,6)+COUNTIF(#REF!,6)+COUNTIF(#REF!,6)</f>
        <v>#REF!</v>
      </c>
      <c r="I36" s="113" t="e">
        <f t="shared" si="3"/>
        <v>#REF!</v>
      </c>
      <c r="J36" s="118"/>
      <c r="K36" s="158"/>
      <c r="L36" s="85">
        <v>6</v>
      </c>
      <c r="M36" s="298" t="s">
        <v>156</v>
      </c>
      <c r="N36" s="299"/>
      <c r="O36" s="300"/>
      <c r="P36" s="114" t="e">
        <f>H25</f>
        <v>#REF!</v>
      </c>
      <c r="Q36" s="113" t="e">
        <f t="shared" si="4"/>
        <v>#REF!</v>
      </c>
      <c r="T36" s="117"/>
    </row>
    <row r="37" spans="3:20" s="115" customFormat="1" ht="18" customHeight="1" x14ac:dyDescent="0.2">
      <c r="C37" s="112">
        <v>7</v>
      </c>
      <c r="D37" s="298" t="s">
        <v>157</v>
      </c>
      <c r="E37" s="299"/>
      <c r="F37" s="299"/>
      <c r="G37" s="300"/>
      <c r="H37" s="114" t="e">
        <f>COUNTIF(#REF!,7)+COUNTIF(#REF!,7)+COUNTIF($V$5:$V$24,7)+COUNTIF(#REF!,7)+COUNTIF(#REF!,7)</f>
        <v>#REF!</v>
      </c>
      <c r="I37" s="113" t="e">
        <f t="shared" si="3"/>
        <v>#REF!</v>
      </c>
      <c r="J37" s="118"/>
      <c r="K37" s="158"/>
      <c r="L37" s="85">
        <v>7</v>
      </c>
      <c r="M37" s="298" t="s">
        <v>158</v>
      </c>
      <c r="N37" s="299"/>
      <c r="O37" s="300"/>
      <c r="P37" s="114" t="e">
        <f>I25</f>
        <v>#REF!</v>
      </c>
      <c r="Q37" s="113" t="e">
        <f t="shared" si="4"/>
        <v>#REF!</v>
      </c>
      <c r="T37" s="117"/>
    </row>
    <row r="38" spans="3:20" s="115" customFormat="1" ht="18" customHeight="1" x14ac:dyDescent="0.2">
      <c r="C38" s="112">
        <v>8</v>
      </c>
      <c r="D38" s="298" t="s">
        <v>159</v>
      </c>
      <c r="E38" s="299"/>
      <c r="F38" s="299"/>
      <c r="G38" s="300"/>
      <c r="H38" s="114" t="e">
        <f>COUNTIF(#REF!,8)+COUNTIF(#REF!,8)+COUNTIF($V$5:$V$24,8)+COUNTIF(#REF!,8)+COUNTIF(#REF!,8)</f>
        <v>#REF!</v>
      </c>
      <c r="I38" s="113" t="e">
        <f t="shared" si="3"/>
        <v>#REF!</v>
      </c>
      <c r="J38" s="118"/>
      <c r="K38" s="158"/>
      <c r="L38" s="85">
        <v>8</v>
      </c>
      <c r="M38" s="298" t="s">
        <v>160</v>
      </c>
      <c r="N38" s="299"/>
      <c r="O38" s="300"/>
      <c r="P38" s="114" t="e">
        <f>J25</f>
        <v>#REF!</v>
      </c>
      <c r="Q38" s="113" t="e">
        <f t="shared" si="4"/>
        <v>#REF!</v>
      </c>
      <c r="T38" s="117"/>
    </row>
    <row r="39" spans="3:20" s="115" customFormat="1" ht="18" customHeight="1" x14ac:dyDescent="0.2">
      <c r="C39" s="112">
        <v>9</v>
      </c>
      <c r="D39" s="298" t="s">
        <v>161</v>
      </c>
      <c r="E39" s="299"/>
      <c r="F39" s="299"/>
      <c r="G39" s="300"/>
      <c r="H39" s="114" t="e">
        <f>COUNTIF(#REF!,9)+COUNTIF(#REF!,9)+COUNTIF($V$5:$V$24,9)+COUNTIF(#REF!,9)+COUNTIF(#REF!,9)</f>
        <v>#REF!</v>
      </c>
      <c r="I39" s="113" t="e">
        <f t="shared" si="3"/>
        <v>#REF!</v>
      </c>
      <c r="J39" s="116"/>
      <c r="K39" s="158"/>
      <c r="L39" s="85">
        <v>9</v>
      </c>
      <c r="M39" s="298" t="s">
        <v>162</v>
      </c>
      <c r="N39" s="299"/>
      <c r="O39" s="300"/>
      <c r="P39" s="114" t="e">
        <f>K25</f>
        <v>#REF!</v>
      </c>
      <c r="Q39" s="113" t="e">
        <f t="shared" si="4"/>
        <v>#REF!</v>
      </c>
      <c r="T39" s="117"/>
    </row>
    <row r="40" spans="3:20" s="115" customFormat="1" ht="18" customHeight="1" x14ac:dyDescent="0.2">
      <c r="C40" s="112">
        <v>10</v>
      </c>
      <c r="D40" s="298" t="s">
        <v>163</v>
      </c>
      <c r="E40" s="299"/>
      <c r="F40" s="299"/>
      <c r="G40" s="300"/>
      <c r="H40" s="114" t="e">
        <f>COUNTIF(#REF!,10)+COUNTIF(#REF!,10)+COUNTIF($V$5:$V$24,10)+COUNTIF(#REF!,10)+COUNTIF(#REF!,10)</f>
        <v>#REF!</v>
      </c>
      <c r="I40" s="113" t="e">
        <f t="shared" si="3"/>
        <v>#REF!</v>
      </c>
      <c r="J40" s="116"/>
      <c r="K40" s="158"/>
      <c r="L40" s="85">
        <v>10</v>
      </c>
      <c r="M40" s="298" t="s">
        <v>164</v>
      </c>
      <c r="N40" s="299"/>
      <c r="O40" s="300"/>
      <c r="P40" s="114" t="e">
        <f>L25</f>
        <v>#REF!</v>
      </c>
      <c r="Q40" s="113" t="e">
        <f t="shared" si="4"/>
        <v>#REF!</v>
      </c>
      <c r="T40" s="117"/>
    </row>
    <row r="41" spans="3:20" s="115" customFormat="1" ht="18" customHeight="1" x14ac:dyDescent="0.2">
      <c r="C41" s="112">
        <v>11</v>
      </c>
      <c r="D41" s="298" t="s">
        <v>165</v>
      </c>
      <c r="E41" s="299"/>
      <c r="F41" s="299"/>
      <c r="G41" s="300"/>
      <c r="H41" s="114" t="e">
        <f>COUNTIF(#REF!,11)+COUNTIF(#REF!,11)+COUNTIF($V$5:$V$24,11)+COUNTIF(#REF!,11)+COUNTIF(#REF!,11)</f>
        <v>#REF!</v>
      </c>
      <c r="I41" s="113" t="e">
        <f t="shared" si="3"/>
        <v>#REF!</v>
      </c>
      <c r="J41" s="116"/>
      <c r="K41" s="158"/>
      <c r="L41" s="85">
        <v>11</v>
      </c>
      <c r="M41" s="298" t="s">
        <v>166</v>
      </c>
      <c r="N41" s="299"/>
      <c r="O41" s="300"/>
      <c r="P41" s="114" t="e">
        <f>M25</f>
        <v>#REF!</v>
      </c>
      <c r="Q41" s="113" t="e">
        <f t="shared" si="4"/>
        <v>#REF!</v>
      </c>
      <c r="T41" s="117"/>
    </row>
    <row r="42" spans="3:20" s="115" customFormat="1" ht="18" customHeight="1" x14ac:dyDescent="0.2">
      <c r="C42" s="112">
        <v>12</v>
      </c>
      <c r="D42" s="298" t="s">
        <v>167</v>
      </c>
      <c r="E42" s="299"/>
      <c r="F42" s="299"/>
      <c r="G42" s="300"/>
      <c r="H42" s="114" t="e">
        <f>COUNTIF(#REF!,12)+COUNTIF(#REF!,12)+COUNTIF($V$5:$V$24,12)+COUNTIF(#REF!,12)+COUNTIF(#REF!,12)</f>
        <v>#REF!</v>
      </c>
      <c r="I42" s="113" t="e">
        <f t="shared" si="3"/>
        <v>#REF!</v>
      </c>
      <c r="J42" s="116"/>
      <c r="K42" s="158"/>
      <c r="L42" s="85">
        <v>12</v>
      </c>
      <c r="M42" s="298" t="s">
        <v>168</v>
      </c>
      <c r="N42" s="299"/>
      <c r="O42" s="300"/>
      <c r="P42" s="114" t="e">
        <f>N25</f>
        <v>#REF!</v>
      </c>
      <c r="Q42" s="113" t="e">
        <f t="shared" si="4"/>
        <v>#REF!</v>
      </c>
      <c r="T42" s="117"/>
    </row>
    <row r="43" spans="3:20" s="115" customFormat="1" ht="18" customHeight="1" x14ac:dyDescent="0.2">
      <c r="C43" s="112">
        <v>13</v>
      </c>
      <c r="D43" s="298" t="s">
        <v>169</v>
      </c>
      <c r="E43" s="299"/>
      <c r="F43" s="299"/>
      <c r="G43" s="300"/>
      <c r="H43" s="114" t="e">
        <f>COUNTIF(#REF!,13)+COUNTIF(#REF!,13)+COUNTIF($V$5:$V$24,13)+COUNTIF(#REF!,13)+COUNTIF(#REF!,13)</f>
        <v>#REF!</v>
      </c>
      <c r="I43" s="113" t="e">
        <f t="shared" si="3"/>
        <v>#REF!</v>
      </c>
      <c r="J43" s="116"/>
      <c r="K43" s="158"/>
      <c r="L43" s="85">
        <v>13</v>
      </c>
      <c r="M43" s="298" t="s">
        <v>170</v>
      </c>
      <c r="N43" s="299"/>
      <c r="O43" s="300"/>
      <c r="P43" s="114" t="e">
        <f>O25</f>
        <v>#REF!</v>
      </c>
      <c r="Q43" s="113" t="e">
        <f t="shared" si="4"/>
        <v>#REF!</v>
      </c>
      <c r="T43" s="117"/>
    </row>
    <row r="44" spans="3:20" s="115" customFormat="1" ht="18" customHeight="1" x14ac:dyDescent="0.2">
      <c r="C44" s="112">
        <v>14</v>
      </c>
      <c r="D44" s="298" t="s">
        <v>171</v>
      </c>
      <c r="E44" s="299"/>
      <c r="F44" s="299"/>
      <c r="G44" s="300"/>
      <c r="H44" s="114" t="e">
        <f>COUNTIF(#REF!,14)+COUNTIF(#REF!,14)+COUNTIF($V$5:$V$24,14)+COUNTIF(#REF!,14)+COUNTIF(#REF!,14)</f>
        <v>#REF!</v>
      </c>
      <c r="I44" s="113" t="e">
        <f t="shared" si="3"/>
        <v>#REF!</v>
      </c>
      <c r="J44" s="116"/>
      <c r="K44" s="158"/>
      <c r="L44" s="85">
        <v>14</v>
      </c>
      <c r="M44" s="298" t="s">
        <v>172</v>
      </c>
      <c r="N44" s="299"/>
      <c r="O44" s="300"/>
      <c r="P44" s="114" t="e">
        <f>P25</f>
        <v>#REF!</v>
      </c>
      <c r="Q44" s="113" t="e">
        <f t="shared" si="4"/>
        <v>#REF!</v>
      </c>
      <c r="T44" s="117"/>
    </row>
    <row r="45" spans="3:20" s="115" customFormat="1" ht="18" customHeight="1" x14ac:dyDescent="0.2">
      <c r="C45" s="112">
        <v>15</v>
      </c>
      <c r="D45" s="298" t="s">
        <v>173</v>
      </c>
      <c r="E45" s="299"/>
      <c r="F45" s="299"/>
      <c r="G45" s="300"/>
      <c r="H45" s="114">
        <f>COUNTIF($V$5:$V$24,15)</f>
        <v>5</v>
      </c>
      <c r="I45" s="113" t="e">
        <f t="shared" si="3"/>
        <v>#REF!</v>
      </c>
      <c r="J45" s="157"/>
      <c r="K45" s="158"/>
      <c r="L45" s="85">
        <v>15</v>
      </c>
      <c r="M45" s="298" t="s">
        <v>174</v>
      </c>
      <c r="N45" s="299"/>
      <c r="O45" s="300"/>
      <c r="P45" s="114" t="e">
        <f>Q25</f>
        <v>#REF!</v>
      </c>
      <c r="Q45" s="113" t="e">
        <f t="shared" si="4"/>
        <v>#REF!</v>
      </c>
      <c r="T45" s="117"/>
    </row>
    <row r="46" spans="3:20" s="115" customFormat="1" ht="18" customHeight="1" x14ac:dyDescent="0.2">
      <c r="C46" s="112">
        <v>16</v>
      </c>
      <c r="D46" s="298" t="s">
        <v>175</v>
      </c>
      <c r="E46" s="299"/>
      <c r="F46" s="299"/>
      <c r="G46" s="300"/>
      <c r="H46" s="114">
        <f>COUNTIF($V$5:$V$24,16)</f>
        <v>5</v>
      </c>
      <c r="I46" s="113" t="e">
        <f t="shared" si="3"/>
        <v>#REF!</v>
      </c>
      <c r="J46" s="157">
        <f>SUM(H45:H48)</f>
        <v>19</v>
      </c>
      <c r="K46" s="158"/>
      <c r="L46" s="85">
        <v>16</v>
      </c>
      <c r="M46" s="298" t="s">
        <v>176</v>
      </c>
      <c r="N46" s="299"/>
      <c r="O46" s="300"/>
      <c r="P46" s="114" t="e">
        <f>R25</f>
        <v>#REF!</v>
      </c>
      <c r="Q46" s="113" t="e">
        <f t="shared" si="4"/>
        <v>#REF!</v>
      </c>
      <c r="T46" s="117"/>
    </row>
    <row r="47" spans="3:20" s="115" customFormat="1" ht="18" customHeight="1" x14ac:dyDescent="0.2">
      <c r="C47" s="112">
        <v>17</v>
      </c>
      <c r="D47" s="298" t="s">
        <v>177</v>
      </c>
      <c r="E47" s="299"/>
      <c r="F47" s="299"/>
      <c r="G47" s="300"/>
      <c r="H47" s="114">
        <f>COUNTIF($V$5:$V$24,17)</f>
        <v>6</v>
      </c>
      <c r="I47" s="113" t="e">
        <f t="shared" si="3"/>
        <v>#REF!</v>
      </c>
      <c r="J47" s="157"/>
      <c r="K47" s="158"/>
      <c r="L47" s="85">
        <v>17</v>
      </c>
      <c r="M47" s="298" t="s">
        <v>178</v>
      </c>
      <c r="N47" s="299"/>
      <c r="O47" s="300"/>
      <c r="P47" s="114" t="e">
        <f>S25</f>
        <v>#REF!</v>
      </c>
      <c r="Q47" s="113" t="e">
        <f t="shared" si="4"/>
        <v>#REF!</v>
      </c>
      <c r="T47" s="117"/>
    </row>
    <row r="48" spans="3:20" s="115" customFormat="1" ht="18" customHeight="1" x14ac:dyDescent="0.2">
      <c r="C48" s="112">
        <v>18</v>
      </c>
      <c r="D48" s="298" t="s">
        <v>179</v>
      </c>
      <c r="E48" s="299"/>
      <c r="F48" s="299"/>
      <c r="G48" s="300"/>
      <c r="H48" s="114">
        <f>COUNTIF($V$5:$V$24,18)</f>
        <v>3</v>
      </c>
      <c r="I48" s="113" t="e">
        <f t="shared" si="3"/>
        <v>#REF!</v>
      </c>
      <c r="J48" s="116"/>
      <c r="K48" s="158"/>
      <c r="L48" s="85">
        <v>18</v>
      </c>
      <c r="M48" s="298" t="s">
        <v>180</v>
      </c>
      <c r="N48" s="299"/>
      <c r="O48" s="300"/>
      <c r="P48" s="85" t="e">
        <f>T25</f>
        <v>#REF!</v>
      </c>
      <c r="Q48" s="113" t="e">
        <f t="shared" si="4"/>
        <v>#REF!</v>
      </c>
      <c r="T48" s="117"/>
    </row>
    <row r="49" spans="3:20" s="115" customFormat="1" ht="18" customHeight="1" x14ac:dyDescent="0.2">
      <c r="C49" s="112">
        <v>19</v>
      </c>
      <c r="D49" s="298" t="s">
        <v>181</v>
      </c>
      <c r="E49" s="299"/>
      <c r="F49" s="299"/>
      <c r="G49" s="300"/>
      <c r="H49" s="114">
        <f>COUNTIF($V$5:$V$24,19)</f>
        <v>0</v>
      </c>
      <c r="I49" s="113" t="e">
        <f t="shared" si="3"/>
        <v>#REF!</v>
      </c>
      <c r="J49" s="116"/>
      <c r="K49" s="158"/>
      <c r="L49" s="85">
        <v>19</v>
      </c>
      <c r="M49" s="298" t="s">
        <v>182</v>
      </c>
      <c r="N49" s="299"/>
      <c r="O49" s="300"/>
      <c r="P49" s="85" t="e">
        <f>U25</f>
        <v>#REF!</v>
      </c>
      <c r="Q49" s="113" t="e">
        <f t="shared" si="4"/>
        <v>#REF!</v>
      </c>
      <c r="T49" s="117"/>
    </row>
    <row r="50" spans="3:20" s="115" customFormat="1" ht="18" customHeight="1" x14ac:dyDescent="0.2">
      <c r="C50" s="301" t="s">
        <v>98</v>
      </c>
      <c r="D50" s="302"/>
      <c r="E50" s="302"/>
      <c r="F50" s="302"/>
      <c r="G50" s="303"/>
      <c r="H50" s="119" t="e">
        <f>SUM(H31:H49)</f>
        <v>#REF!</v>
      </c>
      <c r="I50" s="120">
        <v>100</v>
      </c>
      <c r="J50" s="116"/>
      <c r="L50" s="121"/>
      <c r="M50" s="122"/>
      <c r="N50" s="122"/>
      <c r="O50" s="121"/>
      <c r="P50" s="123"/>
      <c r="Q50" s="124"/>
      <c r="T50" s="117"/>
    </row>
    <row r="51" spans="3:20" x14ac:dyDescent="0.2">
      <c r="L51" s="125"/>
    </row>
    <row r="52" spans="3:20" x14ac:dyDescent="0.2">
      <c r="L52" s="125"/>
      <c r="M52" s="127"/>
    </row>
    <row r="53" spans="3:20" x14ac:dyDescent="0.2">
      <c r="L53" s="125"/>
      <c r="M53" s="127"/>
    </row>
    <row r="54" spans="3:20" x14ac:dyDescent="0.2">
      <c r="K54" s="147"/>
      <c r="L54" s="128"/>
      <c r="M54" s="129"/>
      <c r="N54" s="130"/>
      <c r="O54" s="99"/>
      <c r="P54" s="99"/>
      <c r="Q54" s="99"/>
    </row>
    <row r="55" spans="3:20" s="99" customFormat="1" x14ac:dyDescent="0.2">
      <c r="J55" s="104"/>
      <c r="K55" s="147"/>
      <c r="L55" s="128"/>
      <c r="M55" s="129"/>
      <c r="N55" s="130"/>
    </row>
    <row r="56" spans="3:20" s="99" customFormat="1" x14ac:dyDescent="0.2">
      <c r="J56" s="104"/>
      <c r="K56" s="147"/>
      <c r="L56" s="125"/>
      <c r="M56" s="127"/>
      <c r="N56" s="126"/>
      <c r="O56" s="48"/>
      <c r="P56" s="48"/>
      <c r="Q56" s="48"/>
    </row>
    <row r="57" spans="3:20" x14ac:dyDescent="0.2">
      <c r="L57" s="125"/>
      <c r="M57" s="127"/>
    </row>
    <row r="58" spans="3:20" x14ac:dyDescent="0.2">
      <c r="L58" s="125"/>
      <c r="M58" s="127"/>
    </row>
    <row r="59" spans="3:20" x14ac:dyDescent="0.2">
      <c r="L59" s="125"/>
    </row>
    <row r="60" spans="3:20" x14ac:dyDescent="0.2">
      <c r="L60" s="128"/>
      <c r="M60" s="130"/>
      <c r="N60" s="130"/>
      <c r="O60" s="99"/>
      <c r="P60" s="99"/>
      <c r="Q60" s="99"/>
    </row>
    <row r="61" spans="3:20" s="99" customFormat="1" x14ac:dyDescent="0.2">
      <c r="J61" s="104"/>
      <c r="L61" s="128"/>
      <c r="M61" s="130"/>
      <c r="N61" s="130"/>
    </row>
    <row r="62" spans="3:20" s="99" customFormat="1" x14ac:dyDescent="0.2">
      <c r="J62" s="104"/>
      <c r="L62" s="125"/>
      <c r="M62" s="126"/>
      <c r="N62" s="126"/>
      <c r="O62" s="48"/>
      <c r="P62" s="48"/>
      <c r="Q62" s="48"/>
    </row>
    <row r="63" spans="3:20" x14ac:dyDescent="0.2">
      <c r="L63" s="125"/>
    </row>
  </sheetData>
  <mergeCells count="51">
    <mergeCell ref="A1:V1"/>
    <mergeCell ref="A4:B4"/>
    <mergeCell ref="A25:B25"/>
    <mergeCell ref="A26:B26"/>
    <mergeCell ref="A27:V27"/>
    <mergeCell ref="C29:C30"/>
    <mergeCell ref="D29:G30"/>
    <mergeCell ref="H29:I29"/>
    <mergeCell ref="K29:K30"/>
    <mergeCell ref="L29:L30"/>
    <mergeCell ref="M29:O30"/>
    <mergeCell ref="P29:Q29"/>
    <mergeCell ref="D31:G31"/>
    <mergeCell ref="M31:O31"/>
    <mergeCell ref="D32:G32"/>
    <mergeCell ref="M32:O32"/>
    <mergeCell ref="D33:G33"/>
    <mergeCell ref="M33:O33"/>
    <mergeCell ref="D34:G34"/>
    <mergeCell ref="M34:O34"/>
    <mergeCell ref="D35:G35"/>
    <mergeCell ref="M35:O35"/>
    <mergeCell ref="D36:G36"/>
    <mergeCell ref="M36:O36"/>
    <mergeCell ref="D37:G37"/>
    <mergeCell ref="M37:O37"/>
    <mergeCell ref="D38:G38"/>
    <mergeCell ref="M38:O38"/>
    <mergeCell ref="D39:G39"/>
    <mergeCell ref="M39:O39"/>
    <mergeCell ref="D40:G40"/>
    <mergeCell ref="M40:O40"/>
    <mergeCell ref="D41:G41"/>
    <mergeCell ref="M41:O41"/>
    <mergeCell ref="D42:G42"/>
    <mergeCell ref="M42:O42"/>
    <mergeCell ref="D43:G43"/>
    <mergeCell ref="M43:O43"/>
    <mergeCell ref="D44:G44"/>
    <mergeCell ref="M44:O44"/>
    <mergeCell ref="D45:G45"/>
    <mergeCell ref="M45:O45"/>
    <mergeCell ref="D49:G49"/>
    <mergeCell ref="M49:O49"/>
    <mergeCell ref="C50:G50"/>
    <mergeCell ref="D46:G46"/>
    <mergeCell ref="M46:O46"/>
    <mergeCell ref="D47:G47"/>
    <mergeCell ref="M47:O47"/>
    <mergeCell ref="D48:G48"/>
    <mergeCell ref="M48:O48"/>
  </mergeCells>
  <printOptions horizontalCentered="1"/>
  <pageMargins left="0.15748031496062992" right="0.15748031496062992" top="0.64" bottom="0.47" header="0.15748031496062992" footer="0.15748031496062992"/>
  <pageSetup paperSize="9" scale="81"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3"/>
  <sheetViews>
    <sheetView topLeftCell="A21" zoomScaleNormal="100" workbookViewId="0">
      <selection activeCell="J36" sqref="J36"/>
    </sheetView>
  </sheetViews>
  <sheetFormatPr defaultRowHeight="12.75" x14ac:dyDescent="0.2"/>
  <cols>
    <col min="1" max="1" width="3.5703125" style="48" bestFit="1" customWidth="1"/>
    <col min="2" max="2" width="21.140625" style="48" customWidth="1"/>
    <col min="3" max="3" width="8.5703125" style="48" customWidth="1"/>
    <col min="4" max="4" width="7.85546875" style="48" customWidth="1"/>
    <col min="5" max="5" width="7.140625" style="48" customWidth="1"/>
    <col min="6" max="6" width="8.85546875" style="48" bestFit="1" customWidth="1"/>
    <col min="7" max="7" width="7.42578125" style="48" customWidth="1"/>
    <col min="8" max="8" width="8.5703125" style="48" customWidth="1"/>
    <col min="9" max="9" width="8.28515625" style="48" customWidth="1"/>
    <col min="10" max="10" width="7.85546875" style="102" customWidth="1"/>
    <col min="11" max="11" width="7.7109375" style="48" bestFit="1" customWidth="1"/>
    <col min="12" max="12" width="9" style="48" customWidth="1"/>
    <col min="13" max="13" width="7.7109375" style="126" bestFit="1" customWidth="1"/>
    <col min="14" max="14" width="8.42578125" style="126" customWidth="1"/>
    <col min="15" max="16" width="7.5703125" style="48" customWidth="1"/>
    <col min="17" max="17" width="9" style="48" customWidth="1"/>
    <col min="18" max="18" width="7.7109375" style="48" bestFit="1" customWidth="1"/>
    <col min="19" max="19" width="8.140625" style="48" customWidth="1"/>
    <col min="20" max="21" width="7.7109375" style="48" customWidth="1"/>
    <col min="22" max="22" width="7.140625" style="48" customWidth="1"/>
    <col min="23" max="23" width="9.140625" style="48"/>
    <col min="24" max="24" width="9.85546875" style="48" bestFit="1" customWidth="1"/>
    <col min="25" max="16384" width="9.140625" style="48"/>
  </cols>
  <sheetData>
    <row r="1" spans="1:24" ht="35.25" customHeight="1" x14ac:dyDescent="0.2">
      <c r="A1" s="308" t="s">
        <v>140</v>
      </c>
      <c r="B1" s="308"/>
      <c r="C1" s="308"/>
      <c r="D1" s="308"/>
      <c r="E1" s="308"/>
      <c r="F1" s="308"/>
      <c r="G1" s="308"/>
      <c r="H1" s="308"/>
      <c r="I1" s="308"/>
      <c r="J1" s="308"/>
      <c r="K1" s="308"/>
      <c r="L1" s="308"/>
      <c r="M1" s="308"/>
      <c r="N1" s="308"/>
      <c r="O1" s="308"/>
      <c r="P1" s="308"/>
      <c r="Q1" s="308"/>
      <c r="R1" s="308"/>
      <c r="S1" s="308"/>
      <c r="T1" s="308"/>
      <c r="U1" s="308"/>
      <c r="V1" s="308"/>
    </row>
    <row r="2" spans="1:24" s="94" customFormat="1" ht="83.25" customHeight="1" x14ac:dyDescent="0.2">
      <c r="A2" s="91" t="s">
        <v>76</v>
      </c>
      <c r="B2" s="131" t="s">
        <v>137</v>
      </c>
      <c r="C2" s="4" t="s">
        <v>0</v>
      </c>
      <c r="D2" s="4" t="s">
        <v>1</v>
      </c>
      <c r="E2" s="4" t="s">
        <v>2</v>
      </c>
      <c r="F2" s="91" t="s">
        <v>3</v>
      </c>
      <c r="G2" s="4" t="s">
        <v>4</v>
      </c>
      <c r="H2" s="4" t="s">
        <v>5</v>
      </c>
      <c r="I2" s="4" t="s">
        <v>101</v>
      </c>
      <c r="J2" s="92" t="s">
        <v>100</v>
      </c>
      <c r="K2" s="4" t="s">
        <v>6</v>
      </c>
      <c r="L2" s="4" t="s">
        <v>183</v>
      </c>
      <c r="M2" s="4" t="s">
        <v>8</v>
      </c>
      <c r="N2" s="4" t="s">
        <v>102</v>
      </c>
      <c r="O2" s="4" t="s">
        <v>141</v>
      </c>
      <c r="P2" s="4" t="s">
        <v>104</v>
      </c>
      <c r="Q2" s="93" t="s">
        <v>139</v>
      </c>
      <c r="R2" s="4" t="s">
        <v>10</v>
      </c>
      <c r="S2" s="4" t="s">
        <v>105</v>
      </c>
      <c r="T2" s="4" t="s">
        <v>106</v>
      </c>
      <c r="U2" s="4" t="s">
        <v>107</v>
      </c>
      <c r="V2" s="4" t="s">
        <v>138</v>
      </c>
    </row>
    <row r="3" spans="1:24" s="97" customFormat="1" ht="8.25" customHeight="1" x14ac:dyDescent="0.2">
      <c r="A3" s="95"/>
      <c r="B3" s="96"/>
      <c r="C3" s="139">
        <v>1</v>
      </c>
      <c r="D3" s="139">
        <v>2</v>
      </c>
      <c r="E3" s="139">
        <v>3</v>
      </c>
      <c r="F3" s="139">
        <v>4</v>
      </c>
      <c r="G3" s="139">
        <v>5</v>
      </c>
      <c r="H3" s="139">
        <v>6</v>
      </c>
      <c r="I3" s="139">
        <v>7</v>
      </c>
      <c r="J3" s="140">
        <v>8</v>
      </c>
      <c r="K3" s="139">
        <v>9</v>
      </c>
      <c r="L3" s="139">
        <v>10</v>
      </c>
      <c r="M3" s="140">
        <v>11</v>
      </c>
      <c r="N3" s="140">
        <v>12</v>
      </c>
      <c r="O3" s="139">
        <v>13</v>
      </c>
      <c r="P3" s="139">
        <v>14</v>
      </c>
      <c r="Q3" s="139">
        <v>15</v>
      </c>
      <c r="R3" s="139">
        <v>16</v>
      </c>
      <c r="S3" s="139">
        <v>17</v>
      </c>
      <c r="T3" s="139">
        <v>18</v>
      </c>
      <c r="U3" s="139">
        <v>19</v>
      </c>
      <c r="V3" s="139">
        <v>20</v>
      </c>
    </row>
    <row r="4" spans="1:24" s="104" customFormat="1" ht="19.5" customHeight="1" x14ac:dyDescent="0.2">
      <c r="A4" s="318" t="s">
        <v>34</v>
      </c>
      <c r="B4" s="312"/>
      <c r="C4" s="160">
        <f t="shared" ref="C4:U4" si="0">COUNTIF(C5:C14,"X")</f>
        <v>5</v>
      </c>
      <c r="D4" s="160">
        <f t="shared" si="0"/>
        <v>6</v>
      </c>
      <c r="E4" s="160">
        <f t="shared" si="0"/>
        <v>6</v>
      </c>
      <c r="F4" s="160">
        <f t="shared" si="0"/>
        <v>10</v>
      </c>
      <c r="G4" s="160">
        <f t="shared" si="0"/>
        <v>4</v>
      </c>
      <c r="H4" s="160">
        <f t="shared" si="0"/>
        <v>9</v>
      </c>
      <c r="I4" s="160">
        <f t="shared" si="0"/>
        <v>10</v>
      </c>
      <c r="J4" s="160">
        <f t="shared" si="0"/>
        <v>6</v>
      </c>
      <c r="K4" s="160">
        <f t="shared" si="0"/>
        <v>10</v>
      </c>
      <c r="L4" s="160">
        <f t="shared" si="0"/>
        <v>9</v>
      </c>
      <c r="M4" s="160">
        <f t="shared" si="0"/>
        <v>10</v>
      </c>
      <c r="N4" s="160">
        <f t="shared" si="0"/>
        <v>9</v>
      </c>
      <c r="O4" s="160">
        <f t="shared" si="0"/>
        <v>6</v>
      </c>
      <c r="P4" s="160">
        <f t="shared" si="0"/>
        <v>9</v>
      </c>
      <c r="Q4" s="160">
        <f t="shared" si="0"/>
        <v>9</v>
      </c>
      <c r="R4" s="160">
        <f t="shared" si="0"/>
        <v>9</v>
      </c>
      <c r="S4" s="160">
        <f t="shared" si="0"/>
        <v>0</v>
      </c>
      <c r="T4" s="160">
        <f t="shared" si="0"/>
        <v>6</v>
      </c>
      <c r="U4" s="98">
        <f t="shared" si="0"/>
        <v>6</v>
      </c>
      <c r="V4" s="103">
        <f>AVERAGE(V5:V14)</f>
        <v>13.9</v>
      </c>
    </row>
    <row r="5" spans="1:24" s="102" customFormat="1" ht="12.95" customHeight="1" x14ac:dyDescent="0.2">
      <c r="A5" s="98">
        <v>1</v>
      </c>
      <c r="B5" s="47" t="s">
        <v>41</v>
      </c>
      <c r="C5" s="159" t="s">
        <v>99</v>
      </c>
      <c r="D5" s="159"/>
      <c r="E5" s="159" t="s">
        <v>99</v>
      </c>
      <c r="F5" s="159" t="s">
        <v>99</v>
      </c>
      <c r="G5" s="159"/>
      <c r="H5" s="159" t="s">
        <v>99</v>
      </c>
      <c r="I5" s="159" t="s">
        <v>99</v>
      </c>
      <c r="J5" s="159" t="s">
        <v>99</v>
      </c>
      <c r="K5" s="159" t="s">
        <v>99</v>
      </c>
      <c r="L5" s="159" t="s">
        <v>99</v>
      </c>
      <c r="M5" s="159" t="s">
        <v>99</v>
      </c>
      <c r="N5" s="159" t="s">
        <v>99</v>
      </c>
      <c r="O5" s="159"/>
      <c r="P5" s="159" t="s">
        <v>99</v>
      </c>
      <c r="Q5" s="150" t="s">
        <v>99</v>
      </c>
      <c r="R5" s="159" t="s">
        <v>99</v>
      </c>
      <c r="S5" s="159"/>
      <c r="T5" s="159" t="s">
        <v>99</v>
      </c>
      <c r="U5" s="159" t="s">
        <v>99</v>
      </c>
      <c r="V5" s="160">
        <f t="shared" ref="V5:V14" si="1">COUNTIF(C5:U5,"X")</f>
        <v>15</v>
      </c>
    </row>
    <row r="6" spans="1:24" s="102" customFormat="1" ht="12.95" customHeight="1" x14ac:dyDescent="0.2">
      <c r="A6" s="98">
        <v>2</v>
      </c>
      <c r="B6" s="47" t="s">
        <v>39</v>
      </c>
      <c r="C6" s="159" t="s">
        <v>99</v>
      </c>
      <c r="D6" s="159"/>
      <c r="E6" s="159"/>
      <c r="F6" s="159" t="s">
        <v>99</v>
      </c>
      <c r="G6" s="159"/>
      <c r="H6" s="159" t="s">
        <v>99</v>
      </c>
      <c r="I6" s="159" t="s">
        <v>99</v>
      </c>
      <c r="J6" s="159" t="s">
        <v>99</v>
      </c>
      <c r="K6" s="159" t="s">
        <v>99</v>
      </c>
      <c r="L6" s="159" t="s">
        <v>99</v>
      </c>
      <c r="M6" s="159" t="s">
        <v>99</v>
      </c>
      <c r="N6" s="159" t="s">
        <v>99</v>
      </c>
      <c r="O6" s="159" t="s">
        <v>99</v>
      </c>
      <c r="P6" s="159" t="s">
        <v>99</v>
      </c>
      <c r="Q6" s="159" t="s">
        <v>99</v>
      </c>
      <c r="R6" s="159" t="s">
        <v>99</v>
      </c>
      <c r="S6" s="159"/>
      <c r="T6" s="159" t="s">
        <v>99</v>
      </c>
      <c r="U6" s="159" t="s">
        <v>99</v>
      </c>
      <c r="V6" s="160">
        <f t="shared" si="1"/>
        <v>15</v>
      </c>
    </row>
    <row r="7" spans="1:24" s="102" customFormat="1" ht="12.95" customHeight="1" x14ac:dyDescent="0.2">
      <c r="A7" s="98">
        <v>3</v>
      </c>
      <c r="B7" s="47" t="s">
        <v>36</v>
      </c>
      <c r="C7" s="159" t="s">
        <v>99</v>
      </c>
      <c r="D7" s="159"/>
      <c r="E7" s="159" t="s">
        <v>99</v>
      </c>
      <c r="F7" s="159" t="s">
        <v>99</v>
      </c>
      <c r="G7" s="159" t="s">
        <v>99</v>
      </c>
      <c r="H7" s="159" t="s">
        <v>99</v>
      </c>
      <c r="I7" s="159" t="s">
        <v>99</v>
      </c>
      <c r="J7" s="159" t="s">
        <v>99</v>
      </c>
      <c r="K7" s="159" t="s">
        <v>99</v>
      </c>
      <c r="L7" s="159" t="s">
        <v>99</v>
      </c>
      <c r="M7" s="159" t="s">
        <v>99</v>
      </c>
      <c r="N7" s="159" t="s">
        <v>99</v>
      </c>
      <c r="O7" s="159"/>
      <c r="P7" s="159" t="s">
        <v>99</v>
      </c>
      <c r="Q7" s="151" t="s">
        <v>99</v>
      </c>
      <c r="R7" s="159" t="s">
        <v>99</v>
      </c>
      <c r="S7" s="159"/>
      <c r="T7" s="159" t="s">
        <v>99</v>
      </c>
      <c r="U7" s="159" t="s">
        <v>99</v>
      </c>
      <c r="V7" s="160">
        <f t="shared" si="1"/>
        <v>16</v>
      </c>
    </row>
    <row r="8" spans="1:24" s="102" customFormat="1" ht="12.95" customHeight="1" x14ac:dyDescent="0.2">
      <c r="A8" s="98">
        <v>4</v>
      </c>
      <c r="B8" s="47" t="s">
        <v>40</v>
      </c>
      <c r="C8" s="159"/>
      <c r="D8" s="159" t="s">
        <v>99</v>
      </c>
      <c r="E8" s="159"/>
      <c r="F8" s="159" t="s">
        <v>99</v>
      </c>
      <c r="G8" s="159"/>
      <c r="H8" s="159" t="s">
        <v>99</v>
      </c>
      <c r="I8" s="159" t="s">
        <v>99</v>
      </c>
      <c r="J8" s="159"/>
      <c r="K8" s="159" t="s">
        <v>99</v>
      </c>
      <c r="L8" s="159" t="s">
        <v>99</v>
      </c>
      <c r="M8" s="159" t="s">
        <v>99</v>
      </c>
      <c r="N8" s="159" t="s">
        <v>99</v>
      </c>
      <c r="O8" s="159"/>
      <c r="P8" s="159" t="s">
        <v>99</v>
      </c>
      <c r="Q8" s="159" t="s">
        <v>99</v>
      </c>
      <c r="R8" s="159"/>
      <c r="S8" s="159"/>
      <c r="T8" s="159"/>
      <c r="U8" s="159"/>
      <c r="V8" s="160">
        <f t="shared" si="1"/>
        <v>10</v>
      </c>
    </row>
    <row r="9" spans="1:24" s="102" customFormat="1" ht="12.95" customHeight="1" x14ac:dyDescent="0.2">
      <c r="A9" s="98">
        <v>5</v>
      </c>
      <c r="B9" s="47" t="s">
        <v>42</v>
      </c>
      <c r="C9" s="159" t="s">
        <v>99</v>
      </c>
      <c r="D9" s="159" t="s">
        <v>99</v>
      </c>
      <c r="E9" s="159" t="s">
        <v>99</v>
      </c>
      <c r="F9" s="159" t="s">
        <v>99</v>
      </c>
      <c r="G9" s="159" t="s">
        <v>99</v>
      </c>
      <c r="H9" s="159" t="s">
        <v>99</v>
      </c>
      <c r="I9" s="159" t="s">
        <v>99</v>
      </c>
      <c r="J9" s="159" t="s">
        <v>99</v>
      </c>
      <c r="K9" s="159" t="s">
        <v>99</v>
      </c>
      <c r="L9" s="159" t="s">
        <v>99</v>
      </c>
      <c r="M9" s="159" t="s">
        <v>99</v>
      </c>
      <c r="N9" s="159"/>
      <c r="O9" s="159" t="s">
        <v>99</v>
      </c>
      <c r="P9" s="159"/>
      <c r="Q9" s="159" t="s">
        <v>99</v>
      </c>
      <c r="R9" s="159" t="s">
        <v>99</v>
      </c>
      <c r="S9" s="159"/>
      <c r="T9" s="159" t="s">
        <v>99</v>
      </c>
      <c r="U9" s="159" t="s">
        <v>99</v>
      </c>
      <c r="V9" s="160">
        <f t="shared" si="1"/>
        <v>16</v>
      </c>
    </row>
    <row r="10" spans="1:24" s="102" customFormat="1" ht="12.95" customHeight="1" x14ac:dyDescent="0.2">
      <c r="A10" s="98">
        <v>6</v>
      </c>
      <c r="B10" s="47" t="s">
        <v>43</v>
      </c>
      <c r="C10" s="159"/>
      <c r="D10" s="159" t="s">
        <v>99</v>
      </c>
      <c r="E10" s="159" t="s">
        <v>99</v>
      </c>
      <c r="F10" s="159" t="s">
        <v>99</v>
      </c>
      <c r="G10" s="159"/>
      <c r="H10" s="159" t="s">
        <v>99</v>
      </c>
      <c r="I10" s="159" t="s">
        <v>99</v>
      </c>
      <c r="J10" s="159"/>
      <c r="K10" s="159" t="s">
        <v>99</v>
      </c>
      <c r="L10" s="159"/>
      <c r="M10" s="159" t="s">
        <v>99</v>
      </c>
      <c r="N10" s="159" t="s">
        <v>99</v>
      </c>
      <c r="O10" s="159" t="s">
        <v>99</v>
      </c>
      <c r="P10" s="159" t="s">
        <v>99</v>
      </c>
      <c r="Q10" s="159"/>
      <c r="R10" s="159" t="s">
        <v>99</v>
      </c>
      <c r="S10" s="159"/>
      <c r="T10" s="159"/>
      <c r="U10" s="159"/>
      <c r="V10" s="160">
        <f t="shared" si="1"/>
        <v>11</v>
      </c>
    </row>
    <row r="11" spans="1:24" s="102" customFormat="1" ht="12.95" customHeight="1" x14ac:dyDescent="0.2">
      <c r="A11" s="98">
        <v>7</v>
      </c>
      <c r="B11" s="47" t="s">
        <v>37</v>
      </c>
      <c r="C11" s="159"/>
      <c r="D11" s="159" t="s">
        <v>99</v>
      </c>
      <c r="E11" s="159" t="s">
        <v>99</v>
      </c>
      <c r="F11" s="159" t="s">
        <v>99</v>
      </c>
      <c r="G11" s="159" t="s">
        <v>99</v>
      </c>
      <c r="H11" s="159"/>
      <c r="I11" s="159" t="s">
        <v>99</v>
      </c>
      <c r="J11" s="159"/>
      <c r="K11" s="159" t="s">
        <v>99</v>
      </c>
      <c r="L11" s="159" t="s">
        <v>99</v>
      </c>
      <c r="M11" s="159" t="s">
        <v>99</v>
      </c>
      <c r="N11" s="159" t="s">
        <v>99</v>
      </c>
      <c r="O11" s="159" t="s">
        <v>99</v>
      </c>
      <c r="P11" s="159" t="s">
        <v>99</v>
      </c>
      <c r="Q11" s="159" t="s">
        <v>99</v>
      </c>
      <c r="R11" s="159" t="s">
        <v>99</v>
      </c>
      <c r="S11" s="159"/>
      <c r="T11" s="159"/>
      <c r="U11" s="159"/>
      <c r="V11" s="160">
        <f t="shared" si="1"/>
        <v>13</v>
      </c>
    </row>
    <row r="12" spans="1:24" s="102" customFormat="1" ht="12.95" customHeight="1" x14ac:dyDescent="0.2">
      <c r="A12" s="98">
        <v>8</v>
      </c>
      <c r="B12" s="47" t="s">
        <v>44</v>
      </c>
      <c r="C12" s="159" t="s">
        <v>99</v>
      </c>
      <c r="D12" s="159" t="s">
        <v>99</v>
      </c>
      <c r="E12" s="159" t="s">
        <v>99</v>
      </c>
      <c r="F12" s="159" t="s">
        <v>99</v>
      </c>
      <c r="G12" s="159" t="s">
        <v>99</v>
      </c>
      <c r="H12" s="159" t="s">
        <v>99</v>
      </c>
      <c r="I12" s="159" t="s">
        <v>99</v>
      </c>
      <c r="J12" s="159"/>
      <c r="K12" s="159" t="s">
        <v>99</v>
      </c>
      <c r="L12" s="159" t="s">
        <v>99</v>
      </c>
      <c r="M12" s="159" t="s">
        <v>99</v>
      </c>
      <c r="N12" s="159" t="s">
        <v>99</v>
      </c>
      <c r="O12" s="159"/>
      <c r="P12" s="159" t="s">
        <v>99</v>
      </c>
      <c r="Q12" s="159" t="s">
        <v>99</v>
      </c>
      <c r="R12" s="159" t="s">
        <v>99</v>
      </c>
      <c r="S12" s="159"/>
      <c r="T12" s="159" t="s">
        <v>99</v>
      </c>
      <c r="U12" s="159"/>
      <c r="V12" s="160">
        <f t="shared" si="1"/>
        <v>15</v>
      </c>
    </row>
    <row r="13" spans="1:24" s="102" customFormat="1" ht="12.95" customHeight="1" x14ac:dyDescent="0.2">
      <c r="A13" s="98">
        <v>9</v>
      </c>
      <c r="B13" s="47" t="s">
        <v>38</v>
      </c>
      <c r="C13" s="159"/>
      <c r="D13" s="159"/>
      <c r="E13" s="159"/>
      <c r="F13" s="159" t="s">
        <v>99</v>
      </c>
      <c r="G13" s="159"/>
      <c r="H13" s="159" t="s">
        <v>99</v>
      </c>
      <c r="I13" s="159" t="s">
        <v>99</v>
      </c>
      <c r="J13" s="159" t="s">
        <v>99</v>
      </c>
      <c r="K13" s="159" t="s">
        <v>99</v>
      </c>
      <c r="L13" s="159" t="s">
        <v>99</v>
      </c>
      <c r="M13" s="159" t="s">
        <v>99</v>
      </c>
      <c r="N13" s="159" t="s">
        <v>99</v>
      </c>
      <c r="O13" s="159" t="s">
        <v>99</v>
      </c>
      <c r="P13" s="159" t="s">
        <v>99</v>
      </c>
      <c r="Q13" s="159" t="s">
        <v>99</v>
      </c>
      <c r="R13" s="159" t="s">
        <v>99</v>
      </c>
      <c r="S13" s="159"/>
      <c r="T13" s="159" t="s">
        <v>99</v>
      </c>
      <c r="U13" s="159" t="s">
        <v>99</v>
      </c>
      <c r="V13" s="160">
        <f t="shared" si="1"/>
        <v>14</v>
      </c>
    </row>
    <row r="14" spans="1:24" s="102" customFormat="1" ht="12.95" customHeight="1" x14ac:dyDescent="0.2">
      <c r="A14" s="98">
        <v>10</v>
      </c>
      <c r="B14" s="47" t="s">
        <v>35</v>
      </c>
      <c r="C14" s="159"/>
      <c r="D14" s="159" t="s">
        <v>99</v>
      </c>
      <c r="E14" s="159"/>
      <c r="F14" s="159" t="s">
        <v>99</v>
      </c>
      <c r="G14" s="159"/>
      <c r="H14" s="159" t="s">
        <v>99</v>
      </c>
      <c r="I14" s="159" t="s">
        <v>99</v>
      </c>
      <c r="J14" s="159" t="s">
        <v>99</v>
      </c>
      <c r="K14" s="159" t="s">
        <v>99</v>
      </c>
      <c r="L14" s="159" t="s">
        <v>99</v>
      </c>
      <c r="M14" s="159" t="s">
        <v>99</v>
      </c>
      <c r="N14" s="159" t="s">
        <v>99</v>
      </c>
      <c r="O14" s="159" t="s">
        <v>99</v>
      </c>
      <c r="P14" s="159" t="s">
        <v>99</v>
      </c>
      <c r="Q14" s="151" t="s">
        <v>99</v>
      </c>
      <c r="R14" s="159" t="s">
        <v>99</v>
      </c>
      <c r="S14" s="159"/>
      <c r="T14" s="159"/>
      <c r="U14" s="159" t="s">
        <v>99</v>
      </c>
      <c r="V14" s="160">
        <f t="shared" si="1"/>
        <v>14</v>
      </c>
    </row>
    <row r="15" spans="1:24" s="106" customFormat="1" ht="30.75" customHeight="1" x14ac:dyDescent="0.3">
      <c r="A15" s="311" t="s">
        <v>142</v>
      </c>
      <c r="B15" s="312"/>
      <c r="C15" s="160" t="e">
        <f>#REF!+C4+#REF!+#REF!+#REF!</f>
        <v>#REF!</v>
      </c>
      <c r="D15" s="160" t="e">
        <f>#REF!+D4+#REF!+#REF!+#REF!</f>
        <v>#REF!</v>
      </c>
      <c r="E15" s="160" t="e">
        <f>#REF!+E4+#REF!+#REF!+#REF!</f>
        <v>#REF!</v>
      </c>
      <c r="F15" s="160" t="e">
        <f>#REF!+F4+#REF!+#REF!+#REF!</f>
        <v>#REF!</v>
      </c>
      <c r="G15" s="160" t="e">
        <f>#REF!+G4+#REF!+#REF!+#REF!</f>
        <v>#REF!</v>
      </c>
      <c r="H15" s="160" t="e">
        <f>#REF!+H4+#REF!+#REF!+#REF!</f>
        <v>#REF!</v>
      </c>
      <c r="I15" s="160" t="e">
        <f>#REF!+I4+#REF!+#REF!+#REF!</f>
        <v>#REF!</v>
      </c>
      <c r="J15" s="160" t="e">
        <f>#REF!+J4+#REF!+#REF!+#REF!</f>
        <v>#REF!</v>
      </c>
      <c r="K15" s="160" t="e">
        <f>#REF!+K4+#REF!+#REF!+#REF!</f>
        <v>#REF!</v>
      </c>
      <c r="L15" s="160" t="e">
        <f>#REF!+L4+#REF!+#REF!+#REF!</f>
        <v>#REF!</v>
      </c>
      <c r="M15" s="160" t="e">
        <f>#REF!+M4+#REF!+#REF!+#REF!</f>
        <v>#REF!</v>
      </c>
      <c r="N15" s="160" t="e">
        <f>#REF!+N4+#REF!+#REF!+#REF!</f>
        <v>#REF!</v>
      </c>
      <c r="O15" s="160" t="e">
        <f>#REF!+O4+#REF!+#REF!+#REF!</f>
        <v>#REF!</v>
      </c>
      <c r="P15" s="160" t="e">
        <f>#REF!+P4+#REF!+#REF!+#REF!</f>
        <v>#REF!</v>
      </c>
      <c r="Q15" s="160" t="e">
        <f>#REF!+Q4+#REF!+#REF!+#REF!</f>
        <v>#REF!</v>
      </c>
      <c r="R15" s="160" t="e">
        <f>#REF!+R4+#REF!+#REF!+#REF!</f>
        <v>#REF!</v>
      </c>
      <c r="S15" s="160" t="e">
        <f>#REF!+S4+#REF!+#REF!+#REF!</f>
        <v>#REF!</v>
      </c>
      <c r="T15" s="160" t="e">
        <f>#REF!+T4+#REF!+#REF!+#REF!</f>
        <v>#REF!</v>
      </c>
      <c r="U15" s="98" t="e">
        <f>#REF!+U4+#REF!+#REF!+#REF!</f>
        <v>#REF!</v>
      </c>
      <c r="V15" s="155" t="e">
        <f>(SUM(#REF!)+SUM(#REF!)+SUM(#REF!)+SUM(V5:V14)+SUM(#REF!))/56</f>
        <v>#REF!</v>
      </c>
      <c r="W15" s="105"/>
      <c r="X15" s="137"/>
    </row>
    <row r="16" spans="1:24" s="107" customFormat="1" ht="21" customHeight="1" x14ac:dyDescent="0.2">
      <c r="A16" s="313" t="s">
        <v>143</v>
      </c>
      <c r="B16" s="314"/>
      <c r="C16" s="144" t="e">
        <f t="shared" ref="C16:U16" si="2">100*C15/56</f>
        <v>#REF!</v>
      </c>
      <c r="D16" s="145" t="e">
        <f t="shared" si="2"/>
        <v>#REF!</v>
      </c>
      <c r="E16" s="145" t="e">
        <f t="shared" si="2"/>
        <v>#REF!</v>
      </c>
      <c r="F16" s="144" t="e">
        <f t="shared" si="2"/>
        <v>#REF!</v>
      </c>
      <c r="G16" s="145" t="e">
        <f t="shared" si="2"/>
        <v>#REF!</v>
      </c>
      <c r="H16" s="145" t="e">
        <f t="shared" si="2"/>
        <v>#REF!</v>
      </c>
      <c r="I16" s="144" t="e">
        <f t="shared" si="2"/>
        <v>#REF!</v>
      </c>
      <c r="J16" s="144" t="e">
        <f t="shared" si="2"/>
        <v>#REF!</v>
      </c>
      <c r="K16" s="145" t="e">
        <f t="shared" si="2"/>
        <v>#REF!</v>
      </c>
      <c r="L16" s="145" t="e">
        <f t="shared" si="2"/>
        <v>#REF!</v>
      </c>
      <c r="M16" s="144" t="e">
        <f t="shared" si="2"/>
        <v>#REF!</v>
      </c>
      <c r="N16" s="144" t="e">
        <f t="shared" si="2"/>
        <v>#REF!</v>
      </c>
      <c r="O16" s="145" t="e">
        <f t="shared" si="2"/>
        <v>#REF!</v>
      </c>
      <c r="P16" s="145" t="e">
        <f t="shared" si="2"/>
        <v>#REF!</v>
      </c>
      <c r="Q16" s="145" t="e">
        <f>100*Q15/56</f>
        <v>#REF!</v>
      </c>
      <c r="R16" s="144" t="e">
        <f t="shared" si="2"/>
        <v>#REF!</v>
      </c>
      <c r="S16" s="145" t="e">
        <f t="shared" si="2"/>
        <v>#REF!</v>
      </c>
      <c r="T16" s="145" t="e">
        <f t="shared" si="2"/>
        <v>#REF!</v>
      </c>
      <c r="U16" s="143" t="e">
        <f t="shared" si="2"/>
        <v>#REF!</v>
      </c>
      <c r="V16" s="142"/>
    </row>
    <row r="17" spans="1:22" s="107" customFormat="1" ht="16.5" customHeight="1" x14ac:dyDescent="0.2">
      <c r="A17" s="315" t="s">
        <v>184</v>
      </c>
      <c r="B17" s="316"/>
      <c r="C17" s="316"/>
      <c r="D17" s="316"/>
      <c r="E17" s="316"/>
      <c r="F17" s="316"/>
      <c r="G17" s="316"/>
      <c r="H17" s="316"/>
      <c r="I17" s="316"/>
      <c r="J17" s="316"/>
      <c r="K17" s="316"/>
      <c r="L17" s="316"/>
      <c r="M17" s="316"/>
      <c r="N17" s="316"/>
      <c r="O17" s="316"/>
      <c r="P17" s="316"/>
      <c r="Q17" s="316"/>
      <c r="R17" s="316"/>
      <c r="S17" s="316"/>
      <c r="T17" s="316"/>
      <c r="U17" s="316"/>
      <c r="V17" s="317"/>
    </row>
    <row r="18" spans="1:22" ht="18.75" x14ac:dyDescent="0.3">
      <c r="K18" s="108"/>
      <c r="L18" s="108"/>
      <c r="M18" s="109"/>
      <c r="N18" s="109"/>
      <c r="O18" s="108"/>
      <c r="P18" s="108"/>
      <c r="Q18" s="108"/>
      <c r="R18" s="108"/>
      <c r="S18" s="108"/>
      <c r="T18" s="108"/>
      <c r="U18" s="108"/>
      <c r="V18" s="110"/>
    </row>
    <row r="19" spans="1:22" ht="31.5" customHeight="1" x14ac:dyDescent="0.2">
      <c r="C19" s="304" t="s">
        <v>76</v>
      </c>
      <c r="D19" s="304" t="s">
        <v>77</v>
      </c>
      <c r="E19" s="304"/>
      <c r="F19" s="304"/>
      <c r="G19" s="304"/>
      <c r="H19" s="305" t="s">
        <v>185</v>
      </c>
      <c r="I19" s="306"/>
      <c r="K19" s="307"/>
      <c r="L19" s="304" t="s">
        <v>76</v>
      </c>
      <c r="M19" s="304" t="s">
        <v>77</v>
      </c>
      <c r="N19" s="304"/>
      <c r="O19" s="304"/>
      <c r="P19" s="305" t="s">
        <v>185</v>
      </c>
      <c r="Q19" s="306"/>
    </row>
    <row r="20" spans="1:22" ht="28.5" customHeight="1" x14ac:dyDescent="0.2">
      <c r="C20" s="304"/>
      <c r="D20" s="304"/>
      <c r="E20" s="304"/>
      <c r="F20" s="304"/>
      <c r="G20" s="304"/>
      <c r="H20" s="111" t="s">
        <v>144</v>
      </c>
      <c r="I20" s="111" t="s">
        <v>80</v>
      </c>
      <c r="K20" s="307"/>
      <c r="L20" s="304"/>
      <c r="M20" s="304"/>
      <c r="N20" s="304"/>
      <c r="O20" s="304"/>
      <c r="P20" s="111" t="s">
        <v>144</v>
      </c>
      <c r="Q20" s="111" t="s">
        <v>80</v>
      </c>
    </row>
    <row r="21" spans="1:22" ht="15.75" x14ac:dyDescent="0.2">
      <c r="C21" s="112">
        <v>1</v>
      </c>
      <c r="D21" s="298" t="s">
        <v>145</v>
      </c>
      <c r="E21" s="299"/>
      <c r="F21" s="299"/>
      <c r="G21" s="300"/>
      <c r="H21" s="156" t="e">
        <f>COUNTIF($V$5:$V$14,1)+COUNTIF(#REF!,1)+COUNTIF(#REF!,1)+COUNTIF(#REF!,1)+COUNTIF(#REF!,1)</f>
        <v>#REF!</v>
      </c>
      <c r="I21" s="113" t="e">
        <f t="shared" ref="I21:I39" si="3">H21/$H$40*100</f>
        <v>#REF!</v>
      </c>
      <c r="K21" s="158"/>
      <c r="L21" s="85">
        <v>1</v>
      </c>
      <c r="M21" s="298" t="s">
        <v>146</v>
      </c>
      <c r="N21" s="299"/>
      <c r="O21" s="300"/>
      <c r="P21" s="114" t="e">
        <f>C15</f>
        <v>#REF!</v>
      </c>
      <c r="Q21" s="113" t="e">
        <f t="shared" ref="Q21:Q39" si="4">P21/$H$40*100</f>
        <v>#REF!</v>
      </c>
    </row>
    <row r="22" spans="1:22" ht="15.75" x14ac:dyDescent="0.2">
      <c r="C22" s="112">
        <v>2</v>
      </c>
      <c r="D22" s="298" t="s">
        <v>147</v>
      </c>
      <c r="E22" s="299"/>
      <c r="F22" s="299"/>
      <c r="G22" s="300"/>
      <c r="H22" s="114" t="e">
        <f>COUNTIF($V$5:$V$14,2)+COUNTIF(#REF!,2)+COUNTIF(#REF!,2)+COUNTIF(#REF!,2)+COUNTIF(#REF!,2)</f>
        <v>#REF!</v>
      </c>
      <c r="I22" s="113" t="e">
        <f t="shared" si="3"/>
        <v>#REF!</v>
      </c>
      <c r="K22" s="158"/>
      <c r="L22" s="85">
        <v>2</v>
      </c>
      <c r="M22" s="298" t="s">
        <v>148</v>
      </c>
      <c r="N22" s="299"/>
      <c r="O22" s="300"/>
      <c r="P22" s="114" t="e">
        <f>D15</f>
        <v>#REF!</v>
      </c>
      <c r="Q22" s="113" t="e">
        <f t="shared" si="4"/>
        <v>#REF!</v>
      </c>
    </row>
    <row r="23" spans="1:22" s="115" customFormat="1" ht="18" customHeight="1" x14ac:dyDescent="0.2">
      <c r="C23" s="112">
        <v>3</v>
      </c>
      <c r="D23" s="298" t="s">
        <v>149</v>
      </c>
      <c r="E23" s="299"/>
      <c r="F23" s="299"/>
      <c r="G23" s="300"/>
      <c r="H23" s="114" t="e">
        <f>COUNTIF($V$5:$V$14,3)+COUNTIF(#REF!,3)+COUNTIF(#REF!,3)+COUNTIF(#REF!,3)+COUNTIF(#REF!,3)</f>
        <v>#REF!</v>
      </c>
      <c r="I23" s="113" t="e">
        <f t="shared" si="3"/>
        <v>#REF!</v>
      </c>
      <c r="J23" s="116"/>
      <c r="K23" s="158"/>
      <c r="L23" s="85">
        <v>3</v>
      </c>
      <c r="M23" s="298" t="s">
        <v>150</v>
      </c>
      <c r="N23" s="299"/>
      <c r="O23" s="300"/>
      <c r="P23" s="114" t="e">
        <f>E15</f>
        <v>#REF!</v>
      </c>
      <c r="Q23" s="113" t="e">
        <f t="shared" si="4"/>
        <v>#REF!</v>
      </c>
      <c r="T23" s="117"/>
    </row>
    <row r="24" spans="1:22" s="115" customFormat="1" ht="18" customHeight="1" x14ac:dyDescent="0.2">
      <c r="C24" s="112">
        <v>4</v>
      </c>
      <c r="D24" s="298" t="s">
        <v>151</v>
      </c>
      <c r="E24" s="299"/>
      <c r="F24" s="299"/>
      <c r="G24" s="300"/>
      <c r="H24" s="114" t="e">
        <f>COUNTIF($V$5:$V$14,4)+COUNTIF(#REF!,4)+COUNTIF(#REF!,4)+COUNTIF(#REF!,4)+COUNTIF(#REF!,4)</f>
        <v>#REF!</v>
      </c>
      <c r="I24" s="113" t="e">
        <f t="shared" si="3"/>
        <v>#REF!</v>
      </c>
      <c r="J24" s="116"/>
      <c r="K24" s="158"/>
      <c r="L24" s="85">
        <v>4</v>
      </c>
      <c r="M24" s="298" t="s">
        <v>152</v>
      </c>
      <c r="N24" s="299"/>
      <c r="O24" s="300"/>
      <c r="P24" s="114" t="e">
        <f>F15</f>
        <v>#REF!</v>
      </c>
      <c r="Q24" s="113" t="e">
        <f t="shared" si="4"/>
        <v>#REF!</v>
      </c>
      <c r="T24" s="117"/>
    </row>
    <row r="25" spans="1:22" s="115" customFormat="1" ht="18" customHeight="1" x14ac:dyDescent="0.2">
      <c r="C25" s="112">
        <v>5</v>
      </c>
      <c r="D25" s="298" t="s">
        <v>153</v>
      </c>
      <c r="E25" s="299"/>
      <c r="F25" s="299"/>
      <c r="G25" s="300"/>
      <c r="H25" s="114" t="e">
        <f>COUNTIF($V$5:$V$14,5)+COUNTIF(#REF!,5)+COUNTIF(#REF!,5)+COUNTIF(#REF!,5)+COUNTIF(#REF!,5)</f>
        <v>#REF!</v>
      </c>
      <c r="I25" s="113" t="e">
        <f t="shared" si="3"/>
        <v>#REF!</v>
      </c>
      <c r="J25" s="118"/>
      <c r="K25" s="158"/>
      <c r="L25" s="85">
        <v>5</v>
      </c>
      <c r="M25" s="298" t="s">
        <v>154</v>
      </c>
      <c r="N25" s="299"/>
      <c r="O25" s="300"/>
      <c r="P25" s="114" t="e">
        <f>G15</f>
        <v>#REF!</v>
      </c>
      <c r="Q25" s="113" t="e">
        <f t="shared" si="4"/>
        <v>#REF!</v>
      </c>
      <c r="T25" s="117"/>
    </row>
    <row r="26" spans="1:22" s="115" customFormat="1" ht="18" customHeight="1" x14ac:dyDescent="0.2">
      <c r="C26" s="112">
        <v>6</v>
      </c>
      <c r="D26" s="298" t="s">
        <v>155</v>
      </c>
      <c r="E26" s="299"/>
      <c r="F26" s="299"/>
      <c r="G26" s="300"/>
      <c r="H26" s="114" t="e">
        <f>COUNTIF($V$5:$V$14,6)+COUNTIF(#REF!,6)+COUNTIF(#REF!,6)+COUNTIF(#REF!,6)+COUNTIF(#REF!,6)</f>
        <v>#REF!</v>
      </c>
      <c r="I26" s="113" t="e">
        <f t="shared" si="3"/>
        <v>#REF!</v>
      </c>
      <c r="J26" s="118"/>
      <c r="K26" s="158"/>
      <c r="L26" s="85">
        <v>6</v>
      </c>
      <c r="M26" s="298" t="s">
        <v>156</v>
      </c>
      <c r="N26" s="299"/>
      <c r="O26" s="300"/>
      <c r="P26" s="114" t="e">
        <f>H15</f>
        <v>#REF!</v>
      </c>
      <c r="Q26" s="113" t="e">
        <f t="shared" si="4"/>
        <v>#REF!</v>
      </c>
      <c r="T26" s="117"/>
    </row>
    <row r="27" spans="1:22" s="115" customFormat="1" ht="18" customHeight="1" x14ac:dyDescent="0.2">
      <c r="C27" s="112">
        <v>7</v>
      </c>
      <c r="D27" s="298" t="s">
        <v>157</v>
      </c>
      <c r="E27" s="299"/>
      <c r="F27" s="299"/>
      <c r="G27" s="300"/>
      <c r="H27" s="114" t="e">
        <f>COUNTIF($V$5:$V$14,7)+COUNTIF(#REF!,7)+COUNTIF(#REF!,7)+COUNTIF(#REF!,7)+COUNTIF(#REF!,7)</f>
        <v>#REF!</v>
      </c>
      <c r="I27" s="113" t="e">
        <f t="shared" si="3"/>
        <v>#REF!</v>
      </c>
      <c r="J27" s="118"/>
      <c r="K27" s="158"/>
      <c r="L27" s="85">
        <v>7</v>
      </c>
      <c r="M27" s="298" t="s">
        <v>158</v>
      </c>
      <c r="N27" s="299"/>
      <c r="O27" s="300"/>
      <c r="P27" s="114" t="e">
        <f>I15</f>
        <v>#REF!</v>
      </c>
      <c r="Q27" s="113" t="e">
        <f t="shared" si="4"/>
        <v>#REF!</v>
      </c>
      <c r="T27" s="117"/>
    </row>
    <row r="28" spans="1:22" s="115" customFormat="1" ht="18" customHeight="1" x14ac:dyDescent="0.2">
      <c r="C28" s="112">
        <v>8</v>
      </c>
      <c r="D28" s="298" t="s">
        <v>159</v>
      </c>
      <c r="E28" s="299"/>
      <c r="F28" s="299"/>
      <c r="G28" s="300"/>
      <c r="H28" s="114" t="e">
        <f>COUNTIF($V$5:$V$14,8)+COUNTIF(#REF!,8)+COUNTIF(#REF!,8)+COUNTIF(#REF!,8)+COUNTIF(#REF!,8)</f>
        <v>#REF!</v>
      </c>
      <c r="I28" s="113" t="e">
        <f t="shared" si="3"/>
        <v>#REF!</v>
      </c>
      <c r="J28" s="118"/>
      <c r="K28" s="158"/>
      <c r="L28" s="85">
        <v>8</v>
      </c>
      <c r="M28" s="298" t="s">
        <v>160</v>
      </c>
      <c r="N28" s="299"/>
      <c r="O28" s="300"/>
      <c r="P28" s="114" t="e">
        <f>J15</f>
        <v>#REF!</v>
      </c>
      <c r="Q28" s="113" t="e">
        <f t="shared" si="4"/>
        <v>#REF!</v>
      </c>
      <c r="T28" s="117"/>
    </row>
    <row r="29" spans="1:22" s="115" customFormat="1" ht="18" customHeight="1" x14ac:dyDescent="0.2">
      <c r="C29" s="112">
        <v>9</v>
      </c>
      <c r="D29" s="298" t="s">
        <v>161</v>
      </c>
      <c r="E29" s="299"/>
      <c r="F29" s="299"/>
      <c r="G29" s="300"/>
      <c r="H29" s="114" t="e">
        <f>COUNTIF($V$5:$V$14,9)+COUNTIF(#REF!,9)+COUNTIF(#REF!,9)+COUNTIF(#REF!,9)+COUNTIF(#REF!,9)</f>
        <v>#REF!</v>
      </c>
      <c r="I29" s="113" t="e">
        <f t="shared" si="3"/>
        <v>#REF!</v>
      </c>
      <c r="J29" s="116"/>
      <c r="K29" s="158"/>
      <c r="L29" s="85">
        <v>9</v>
      </c>
      <c r="M29" s="298" t="s">
        <v>162</v>
      </c>
      <c r="N29" s="299"/>
      <c r="O29" s="300"/>
      <c r="P29" s="114" t="e">
        <f>K15</f>
        <v>#REF!</v>
      </c>
      <c r="Q29" s="113" t="e">
        <f t="shared" si="4"/>
        <v>#REF!</v>
      </c>
      <c r="T29" s="117"/>
    </row>
    <row r="30" spans="1:22" s="115" customFormat="1" ht="18" customHeight="1" x14ac:dyDescent="0.2">
      <c r="C30" s="112">
        <v>10</v>
      </c>
      <c r="D30" s="298" t="s">
        <v>163</v>
      </c>
      <c r="E30" s="299"/>
      <c r="F30" s="299"/>
      <c r="G30" s="300"/>
      <c r="H30" s="114" t="e">
        <f>COUNTIF($V$5:$V$14,10)+COUNTIF(#REF!,10)+COUNTIF(#REF!,10)+COUNTIF(#REF!,10)+COUNTIF(#REF!,10)</f>
        <v>#REF!</v>
      </c>
      <c r="I30" s="113" t="e">
        <f t="shared" si="3"/>
        <v>#REF!</v>
      </c>
      <c r="J30" s="116"/>
      <c r="K30" s="158"/>
      <c r="L30" s="85">
        <v>10</v>
      </c>
      <c r="M30" s="298" t="s">
        <v>164</v>
      </c>
      <c r="N30" s="299"/>
      <c r="O30" s="300"/>
      <c r="P30" s="114" t="e">
        <f>L15</f>
        <v>#REF!</v>
      </c>
      <c r="Q30" s="113" t="e">
        <f t="shared" si="4"/>
        <v>#REF!</v>
      </c>
      <c r="T30" s="117"/>
    </row>
    <row r="31" spans="1:22" s="115" customFormat="1" ht="18" customHeight="1" x14ac:dyDescent="0.2">
      <c r="C31" s="112">
        <v>11</v>
      </c>
      <c r="D31" s="298" t="s">
        <v>165</v>
      </c>
      <c r="E31" s="299"/>
      <c r="F31" s="299"/>
      <c r="G31" s="300"/>
      <c r="H31" s="114" t="e">
        <f>COUNTIF($V$5:$V$14,11)+COUNTIF(#REF!,11)+COUNTIF(#REF!,11)+COUNTIF(#REF!,11)+COUNTIF(#REF!,11)</f>
        <v>#REF!</v>
      </c>
      <c r="I31" s="113" t="e">
        <f t="shared" si="3"/>
        <v>#REF!</v>
      </c>
      <c r="J31" s="116"/>
      <c r="K31" s="158"/>
      <c r="L31" s="85">
        <v>11</v>
      </c>
      <c r="M31" s="298" t="s">
        <v>166</v>
      </c>
      <c r="N31" s="299"/>
      <c r="O31" s="300"/>
      <c r="P31" s="114" t="e">
        <f>M15</f>
        <v>#REF!</v>
      </c>
      <c r="Q31" s="113" t="e">
        <f t="shared" si="4"/>
        <v>#REF!</v>
      </c>
      <c r="T31" s="117"/>
    </row>
    <row r="32" spans="1:22" s="115" customFormat="1" ht="18" customHeight="1" x14ac:dyDescent="0.2">
      <c r="C32" s="112">
        <v>12</v>
      </c>
      <c r="D32" s="298" t="s">
        <v>167</v>
      </c>
      <c r="E32" s="299"/>
      <c r="F32" s="299"/>
      <c r="G32" s="300"/>
      <c r="H32" s="114" t="e">
        <f>COUNTIF($V$5:$V$14,12)+COUNTIF(#REF!,12)+COUNTIF(#REF!,12)+COUNTIF(#REF!,12)+COUNTIF(#REF!,12)</f>
        <v>#REF!</v>
      </c>
      <c r="I32" s="113" t="e">
        <f t="shared" si="3"/>
        <v>#REF!</v>
      </c>
      <c r="J32" s="116"/>
      <c r="K32" s="158"/>
      <c r="L32" s="85">
        <v>12</v>
      </c>
      <c r="M32" s="298" t="s">
        <v>168</v>
      </c>
      <c r="N32" s="299"/>
      <c r="O32" s="300"/>
      <c r="P32" s="114" t="e">
        <f>N15</f>
        <v>#REF!</v>
      </c>
      <c r="Q32" s="113" t="e">
        <f t="shared" si="4"/>
        <v>#REF!</v>
      </c>
      <c r="T32" s="117"/>
    </row>
    <row r="33" spans="3:20" s="115" customFormat="1" ht="18" customHeight="1" x14ac:dyDescent="0.2">
      <c r="C33" s="112">
        <v>13</v>
      </c>
      <c r="D33" s="298" t="s">
        <v>169</v>
      </c>
      <c r="E33" s="299"/>
      <c r="F33" s="299"/>
      <c r="G33" s="300"/>
      <c r="H33" s="114" t="e">
        <f>COUNTIF($V$5:$V$14,13)+COUNTIF(#REF!,13)+COUNTIF(#REF!,13)+COUNTIF(#REF!,13)+COUNTIF(#REF!,13)</f>
        <v>#REF!</v>
      </c>
      <c r="I33" s="113" t="e">
        <f t="shared" si="3"/>
        <v>#REF!</v>
      </c>
      <c r="J33" s="116"/>
      <c r="K33" s="158"/>
      <c r="L33" s="85">
        <v>13</v>
      </c>
      <c r="M33" s="298" t="s">
        <v>170</v>
      </c>
      <c r="N33" s="299"/>
      <c r="O33" s="300"/>
      <c r="P33" s="114" t="e">
        <f>O15</f>
        <v>#REF!</v>
      </c>
      <c r="Q33" s="113" t="e">
        <f t="shared" si="4"/>
        <v>#REF!</v>
      </c>
      <c r="T33" s="117"/>
    </row>
    <row r="34" spans="3:20" s="115" customFormat="1" ht="18" customHeight="1" x14ac:dyDescent="0.2">
      <c r="C34" s="112">
        <v>14</v>
      </c>
      <c r="D34" s="298" t="s">
        <v>171</v>
      </c>
      <c r="E34" s="299"/>
      <c r="F34" s="299"/>
      <c r="G34" s="300"/>
      <c r="H34" s="114">
        <f>COUNTIF($V$5:$V$14,14)</f>
        <v>2</v>
      </c>
      <c r="I34" s="113" t="e">
        <f t="shared" si="3"/>
        <v>#REF!</v>
      </c>
      <c r="J34" s="116"/>
      <c r="K34" s="158"/>
      <c r="L34" s="85">
        <v>14</v>
      </c>
      <c r="M34" s="298" t="s">
        <v>172</v>
      </c>
      <c r="N34" s="299"/>
      <c r="O34" s="300"/>
      <c r="P34" s="114" t="e">
        <f>P15</f>
        <v>#REF!</v>
      </c>
      <c r="Q34" s="113" t="e">
        <f t="shared" si="4"/>
        <v>#REF!</v>
      </c>
      <c r="T34" s="117"/>
    </row>
    <row r="35" spans="3:20" s="115" customFormat="1" ht="18" customHeight="1" x14ac:dyDescent="0.2">
      <c r="C35" s="112">
        <v>15</v>
      </c>
      <c r="D35" s="298" t="s">
        <v>173</v>
      </c>
      <c r="E35" s="299"/>
      <c r="F35" s="299"/>
      <c r="G35" s="300"/>
      <c r="H35" s="114">
        <f>COUNTIF($V$5:$V$14,15)</f>
        <v>3</v>
      </c>
      <c r="I35" s="113" t="e">
        <f t="shared" si="3"/>
        <v>#REF!</v>
      </c>
      <c r="J35" s="157">
        <f>SUM(H35:H36)</f>
        <v>5</v>
      </c>
      <c r="K35" s="158"/>
      <c r="L35" s="85">
        <v>15</v>
      </c>
      <c r="M35" s="298" t="s">
        <v>174</v>
      </c>
      <c r="N35" s="299"/>
      <c r="O35" s="300"/>
      <c r="P35" s="114" t="e">
        <f>Q15</f>
        <v>#REF!</v>
      </c>
      <c r="Q35" s="113" t="e">
        <f t="shared" si="4"/>
        <v>#REF!</v>
      </c>
      <c r="T35" s="117"/>
    </row>
    <row r="36" spans="3:20" s="115" customFormat="1" ht="18" customHeight="1" x14ac:dyDescent="0.2">
      <c r="C36" s="112">
        <v>16</v>
      </c>
      <c r="D36" s="298" t="s">
        <v>175</v>
      </c>
      <c r="E36" s="299"/>
      <c r="F36" s="299"/>
      <c r="G36" s="300"/>
      <c r="H36" s="114">
        <f>COUNTIF($V$5:$V$14,16)</f>
        <v>2</v>
      </c>
      <c r="I36" s="113" t="e">
        <f t="shared" si="3"/>
        <v>#REF!</v>
      </c>
      <c r="J36" s="116"/>
      <c r="K36" s="158"/>
      <c r="L36" s="85">
        <v>16</v>
      </c>
      <c r="M36" s="298" t="s">
        <v>176</v>
      </c>
      <c r="N36" s="299"/>
      <c r="O36" s="300"/>
      <c r="P36" s="114" t="e">
        <f>R15</f>
        <v>#REF!</v>
      </c>
      <c r="Q36" s="113" t="e">
        <f t="shared" si="4"/>
        <v>#REF!</v>
      </c>
      <c r="T36" s="117"/>
    </row>
    <row r="37" spans="3:20" s="115" customFormat="1" ht="18" customHeight="1" x14ac:dyDescent="0.2">
      <c r="C37" s="112">
        <v>17</v>
      </c>
      <c r="D37" s="298" t="s">
        <v>177</v>
      </c>
      <c r="E37" s="299"/>
      <c r="F37" s="299"/>
      <c r="G37" s="300"/>
      <c r="H37" s="114">
        <f>COUNTIF($V$5:$V$14,17)</f>
        <v>0</v>
      </c>
      <c r="I37" s="113" t="e">
        <f t="shared" si="3"/>
        <v>#REF!</v>
      </c>
      <c r="J37" s="157"/>
      <c r="K37" s="158"/>
      <c r="L37" s="85">
        <v>17</v>
      </c>
      <c r="M37" s="298" t="s">
        <v>178</v>
      </c>
      <c r="N37" s="299"/>
      <c r="O37" s="300"/>
      <c r="P37" s="114" t="e">
        <f>S15</f>
        <v>#REF!</v>
      </c>
      <c r="Q37" s="113" t="e">
        <f t="shared" si="4"/>
        <v>#REF!</v>
      </c>
      <c r="T37" s="117"/>
    </row>
    <row r="38" spans="3:20" s="115" customFormat="1" ht="18" customHeight="1" x14ac:dyDescent="0.2">
      <c r="C38" s="112">
        <v>18</v>
      </c>
      <c r="D38" s="298" t="s">
        <v>179</v>
      </c>
      <c r="E38" s="299"/>
      <c r="F38" s="299"/>
      <c r="G38" s="300"/>
      <c r="H38" s="114">
        <f>COUNTIF($V$5:$V$14,18)</f>
        <v>0</v>
      </c>
      <c r="I38" s="113" t="e">
        <f t="shared" si="3"/>
        <v>#REF!</v>
      </c>
      <c r="J38" s="116"/>
      <c r="K38" s="158"/>
      <c r="L38" s="85">
        <v>18</v>
      </c>
      <c r="M38" s="298" t="s">
        <v>180</v>
      </c>
      <c r="N38" s="299"/>
      <c r="O38" s="300"/>
      <c r="P38" s="85" t="e">
        <f>T15</f>
        <v>#REF!</v>
      </c>
      <c r="Q38" s="113" t="e">
        <f t="shared" si="4"/>
        <v>#REF!</v>
      </c>
      <c r="T38" s="117"/>
    </row>
    <row r="39" spans="3:20" s="115" customFormat="1" ht="18" customHeight="1" x14ac:dyDescent="0.2">
      <c r="C39" s="112">
        <v>19</v>
      </c>
      <c r="D39" s="298" t="s">
        <v>181</v>
      </c>
      <c r="E39" s="299"/>
      <c r="F39" s="299"/>
      <c r="G39" s="300"/>
      <c r="H39" s="114" t="e">
        <f>COUNTIF($V$5:$V$14,19)+COUNTIF(#REF!,19)+COUNTIF(#REF!,19)+COUNTIF(#REF!,19)+COUNTIF(#REF!,19)</f>
        <v>#REF!</v>
      </c>
      <c r="I39" s="113" t="e">
        <f t="shared" si="3"/>
        <v>#REF!</v>
      </c>
      <c r="J39" s="116"/>
      <c r="K39" s="158"/>
      <c r="L39" s="85">
        <v>19</v>
      </c>
      <c r="M39" s="298" t="s">
        <v>182</v>
      </c>
      <c r="N39" s="299"/>
      <c r="O39" s="300"/>
      <c r="P39" s="85" t="e">
        <f>U15</f>
        <v>#REF!</v>
      </c>
      <c r="Q39" s="113" t="e">
        <f t="shared" si="4"/>
        <v>#REF!</v>
      </c>
      <c r="T39" s="117"/>
    </row>
    <row r="40" spans="3:20" s="115" customFormat="1" ht="18" customHeight="1" x14ac:dyDescent="0.2">
      <c r="C40" s="301" t="s">
        <v>98</v>
      </c>
      <c r="D40" s="302"/>
      <c r="E40" s="302"/>
      <c r="F40" s="302"/>
      <c r="G40" s="303"/>
      <c r="H40" s="119" t="e">
        <f>SUM(H21:H39)</f>
        <v>#REF!</v>
      </c>
      <c r="I40" s="120">
        <v>100</v>
      </c>
      <c r="J40" s="116"/>
      <c r="L40" s="121"/>
      <c r="M40" s="122"/>
      <c r="N40" s="122"/>
      <c r="O40" s="121"/>
      <c r="P40" s="123"/>
      <c r="Q40" s="124"/>
      <c r="T40" s="117"/>
    </row>
    <row r="41" spans="3:20" x14ac:dyDescent="0.2">
      <c r="L41" s="125"/>
    </row>
    <row r="42" spans="3:20" x14ac:dyDescent="0.2">
      <c r="L42" s="125"/>
      <c r="M42" s="127"/>
    </row>
    <row r="43" spans="3:20" x14ac:dyDescent="0.2">
      <c r="L43" s="125"/>
      <c r="M43" s="127"/>
    </row>
    <row r="44" spans="3:20" x14ac:dyDescent="0.2">
      <c r="K44" s="147"/>
      <c r="L44" s="128"/>
      <c r="M44" s="129"/>
      <c r="N44" s="130"/>
      <c r="O44" s="99"/>
      <c r="P44" s="99"/>
      <c r="Q44" s="99"/>
    </row>
    <row r="45" spans="3:20" s="99" customFormat="1" x14ac:dyDescent="0.2">
      <c r="J45" s="104"/>
      <c r="K45" s="147"/>
      <c r="L45" s="128"/>
      <c r="M45" s="129"/>
      <c r="N45" s="130"/>
    </row>
    <row r="46" spans="3:20" s="99" customFormat="1" x14ac:dyDescent="0.2">
      <c r="J46" s="104"/>
      <c r="K46" s="147"/>
      <c r="L46" s="125"/>
      <c r="M46" s="127"/>
      <c r="N46" s="126"/>
      <c r="O46" s="48"/>
      <c r="P46" s="48"/>
      <c r="Q46" s="48"/>
    </row>
    <row r="47" spans="3:20" x14ac:dyDescent="0.2">
      <c r="L47" s="125"/>
      <c r="M47" s="127"/>
    </row>
    <row r="48" spans="3:20" x14ac:dyDescent="0.2">
      <c r="L48" s="125"/>
      <c r="M48" s="127"/>
    </row>
    <row r="49" spans="10:17" x14ac:dyDescent="0.2">
      <c r="L49" s="125"/>
    </row>
    <row r="50" spans="10:17" x14ac:dyDescent="0.2">
      <c r="L50" s="128"/>
      <c r="M50" s="130"/>
      <c r="N50" s="130"/>
      <c r="O50" s="99"/>
      <c r="P50" s="99"/>
      <c r="Q50" s="99"/>
    </row>
    <row r="51" spans="10:17" s="99" customFormat="1" x14ac:dyDescent="0.2">
      <c r="J51" s="104"/>
      <c r="L51" s="128"/>
      <c r="M51" s="130"/>
      <c r="N51" s="130"/>
    </row>
    <row r="52" spans="10:17" s="99" customFormat="1" x14ac:dyDescent="0.2">
      <c r="J52" s="104"/>
      <c r="L52" s="125"/>
      <c r="M52" s="126"/>
      <c r="N52" s="126"/>
      <c r="O52" s="48"/>
      <c r="P52" s="48"/>
      <c r="Q52" s="48"/>
    </row>
    <row r="53" spans="10:17" x14ac:dyDescent="0.2">
      <c r="L53" s="125"/>
    </row>
  </sheetData>
  <mergeCells count="51">
    <mergeCell ref="A1:V1"/>
    <mergeCell ref="A4:B4"/>
    <mergeCell ref="A15:B15"/>
    <mergeCell ref="A16:B16"/>
    <mergeCell ref="A17:V17"/>
    <mergeCell ref="C19:C20"/>
    <mergeCell ref="D19:G20"/>
    <mergeCell ref="H19:I19"/>
    <mergeCell ref="K19:K20"/>
    <mergeCell ref="L19:L20"/>
    <mergeCell ref="M19:O20"/>
    <mergeCell ref="P19:Q19"/>
    <mergeCell ref="D21:G21"/>
    <mergeCell ref="M21:O21"/>
    <mergeCell ref="D22:G22"/>
    <mergeCell ref="M22:O22"/>
    <mergeCell ref="D23:G23"/>
    <mergeCell ref="M23:O23"/>
    <mergeCell ref="D24:G24"/>
    <mergeCell ref="M24:O24"/>
    <mergeCell ref="D25:G25"/>
    <mergeCell ref="M25:O25"/>
    <mergeCell ref="D26:G26"/>
    <mergeCell ref="M26:O26"/>
    <mergeCell ref="D27:G27"/>
    <mergeCell ref="M27:O27"/>
    <mergeCell ref="D28:G28"/>
    <mergeCell ref="M28:O28"/>
    <mergeCell ref="D29:G29"/>
    <mergeCell ref="M29:O29"/>
    <mergeCell ref="D30:G30"/>
    <mergeCell ref="M30:O30"/>
    <mergeCell ref="D31:G31"/>
    <mergeCell ref="M31:O31"/>
    <mergeCell ref="D32:G32"/>
    <mergeCell ref="M32:O32"/>
    <mergeCell ref="D33:G33"/>
    <mergeCell ref="M33:O33"/>
    <mergeCell ref="D34:G34"/>
    <mergeCell ref="M34:O34"/>
    <mergeCell ref="D35:G35"/>
    <mergeCell ref="M35:O35"/>
    <mergeCell ref="D39:G39"/>
    <mergeCell ref="M39:O39"/>
    <mergeCell ref="C40:G40"/>
    <mergeCell ref="D36:G36"/>
    <mergeCell ref="M36:O36"/>
    <mergeCell ref="D37:G37"/>
    <mergeCell ref="M37:O37"/>
    <mergeCell ref="D38:G38"/>
    <mergeCell ref="M38:O38"/>
  </mergeCells>
  <printOptions horizontalCentered="1"/>
  <pageMargins left="0.15748031496062992" right="0.15748031496062992" top="0.64" bottom="0.47" header="0.15748031496062992" footer="0.15748031496062992"/>
  <pageSetup paperSize="9" scale="81"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7"/>
  <sheetViews>
    <sheetView topLeftCell="A26" zoomScaleNormal="100" workbookViewId="0">
      <selection activeCell="J40" sqref="J40"/>
    </sheetView>
  </sheetViews>
  <sheetFormatPr defaultRowHeight="12.75" x14ac:dyDescent="0.2"/>
  <cols>
    <col min="1" max="1" width="3.5703125" style="48" bestFit="1" customWidth="1"/>
    <col min="2" max="2" width="21.140625" style="48" customWidth="1"/>
    <col min="3" max="3" width="8.5703125" style="48" customWidth="1"/>
    <col min="4" max="4" width="7.85546875" style="48" customWidth="1"/>
    <col min="5" max="5" width="7.140625" style="48" customWidth="1"/>
    <col min="6" max="6" width="8.85546875" style="48" bestFit="1" customWidth="1"/>
    <col min="7" max="7" width="7.42578125" style="48" customWidth="1"/>
    <col min="8" max="8" width="8.5703125" style="48" customWidth="1"/>
    <col min="9" max="9" width="8.28515625" style="48" customWidth="1"/>
    <col min="10" max="10" width="7.85546875" style="102" customWidth="1"/>
    <col min="11" max="11" width="7.7109375" style="48" bestFit="1" customWidth="1"/>
    <col min="12" max="12" width="9" style="48" customWidth="1"/>
    <col min="13" max="13" width="7.7109375" style="126" bestFit="1" customWidth="1"/>
    <col min="14" max="14" width="8.42578125" style="126" customWidth="1"/>
    <col min="15" max="16" width="7.5703125" style="48" customWidth="1"/>
    <col min="17" max="17" width="9" style="48" customWidth="1"/>
    <col min="18" max="18" width="7.7109375" style="48" bestFit="1" customWidth="1"/>
    <col min="19" max="19" width="8.140625" style="48" customWidth="1"/>
    <col min="20" max="21" width="7.7109375" style="48" customWidth="1"/>
    <col min="22" max="22" width="7.140625" style="48" customWidth="1"/>
    <col min="23" max="23" width="9.140625" style="48"/>
    <col min="24" max="24" width="9.85546875" style="48" bestFit="1" customWidth="1"/>
    <col min="25" max="16384" width="9.140625" style="48"/>
  </cols>
  <sheetData>
    <row r="1" spans="1:22" ht="35.25" customHeight="1" x14ac:dyDescent="0.2">
      <c r="A1" s="308" t="s">
        <v>140</v>
      </c>
      <c r="B1" s="308"/>
      <c r="C1" s="308"/>
      <c r="D1" s="308"/>
      <c r="E1" s="308"/>
      <c r="F1" s="308"/>
      <c r="G1" s="308"/>
      <c r="H1" s="308"/>
      <c r="I1" s="308"/>
      <c r="J1" s="308"/>
      <c r="K1" s="308"/>
      <c r="L1" s="308"/>
      <c r="M1" s="308"/>
      <c r="N1" s="308"/>
      <c r="O1" s="308"/>
      <c r="P1" s="308"/>
      <c r="Q1" s="308"/>
      <c r="R1" s="308"/>
      <c r="S1" s="308"/>
      <c r="T1" s="308"/>
      <c r="U1" s="308"/>
      <c r="V1" s="308"/>
    </row>
    <row r="2" spans="1:22" s="94" customFormat="1" ht="83.25" customHeight="1" x14ac:dyDescent="0.2">
      <c r="A2" s="91" t="s">
        <v>76</v>
      </c>
      <c r="B2" s="131" t="s">
        <v>137</v>
      </c>
      <c r="C2" s="4" t="s">
        <v>0</v>
      </c>
      <c r="D2" s="4" t="s">
        <v>1</v>
      </c>
      <c r="E2" s="4" t="s">
        <v>2</v>
      </c>
      <c r="F2" s="91" t="s">
        <v>3</v>
      </c>
      <c r="G2" s="4" t="s">
        <v>4</v>
      </c>
      <c r="H2" s="4" t="s">
        <v>5</v>
      </c>
      <c r="I2" s="4" t="s">
        <v>101</v>
      </c>
      <c r="J2" s="92" t="s">
        <v>100</v>
      </c>
      <c r="K2" s="4" t="s">
        <v>6</v>
      </c>
      <c r="L2" s="4" t="s">
        <v>183</v>
      </c>
      <c r="M2" s="4" t="s">
        <v>8</v>
      </c>
      <c r="N2" s="4" t="s">
        <v>102</v>
      </c>
      <c r="O2" s="4" t="s">
        <v>141</v>
      </c>
      <c r="P2" s="4" t="s">
        <v>104</v>
      </c>
      <c r="Q2" s="93" t="s">
        <v>139</v>
      </c>
      <c r="R2" s="4" t="s">
        <v>10</v>
      </c>
      <c r="S2" s="4" t="s">
        <v>105</v>
      </c>
      <c r="T2" s="4" t="s">
        <v>106</v>
      </c>
      <c r="U2" s="4" t="s">
        <v>107</v>
      </c>
      <c r="V2" s="4" t="s">
        <v>138</v>
      </c>
    </row>
    <row r="3" spans="1:22" s="97" customFormat="1" ht="8.25" customHeight="1" x14ac:dyDescent="0.2">
      <c r="A3" s="95"/>
      <c r="B3" s="96"/>
      <c r="C3" s="139">
        <v>1</v>
      </c>
      <c r="D3" s="139">
        <v>2</v>
      </c>
      <c r="E3" s="139">
        <v>3</v>
      </c>
      <c r="F3" s="139">
        <v>4</v>
      </c>
      <c r="G3" s="139">
        <v>5</v>
      </c>
      <c r="H3" s="139">
        <v>6</v>
      </c>
      <c r="I3" s="139">
        <v>7</v>
      </c>
      <c r="J3" s="140">
        <v>8</v>
      </c>
      <c r="K3" s="139">
        <v>9</v>
      </c>
      <c r="L3" s="139">
        <v>10</v>
      </c>
      <c r="M3" s="140">
        <v>11</v>
      </c>
      <c r="N3" s="140">
        <v>12</v>
      </c>
      <c r="O3" s="139">
        <v>13</v>
      </c>
      <c r="P3" s="139">
        <v>14</v>
      </c>
      <c r="Q3" s="139">
        <v>15</v>
      </c>
      <c r="R3" s="139">
        <v>16</v>
      </c>
      <c r="S3" s="139">
        <v>17</v>
      </c>
      <c r="T3" s="139">
        <v>18</v>
      </c>
      <c r="U3" s="139">
        <v>19</v>
      </c>
      <c r="V3" s="139">
        <v>20</v>
      </c>
    </row>
    <row r="4" spans="1:22" s="104" customFormat="1" ht="18.75" customHeight="1" x14ac:dyDescent="0.2">
      <c r="A4" s="318" t="s">
        <v>45</v>
      </c>
      <c r="B4" s="312"/>
      <c r="C4" s="160">
        <f t="shared" ref="C4:U4" si="0">COUNTIF(C5:C18,"X")</f>
        <v>14</v>
      </c>
      <c r="D4" s="160">
        <f t="shared" si="0"/>
        <v>0</v>
      </c>
      <c r="E4" s="160">
        <f t="shared" si="0"/>
        <v>12</v>
      </c>
      <c r="F4" s="160">
        <f t="shared" si="0"/>
        <v>14</v>
      </c>
      <c r="G4" s="160">
        <f t="shared" si="0"/>
        <v>10</v>
      </c>
      <c r="H4" s="160">
        <f t="shared" si="0"/>
        <v>11</v>
      </c>
      <c r="I4" s="160">
        <f t="shared" si="0"/>
        <v>14</v>
      </c>
      <c r="J4" s="160">
        <f t="shared" si="0"/>
        <v>14</v>
      </c>
      <c r="K4" s="160">
        <f t="shared" si="0"/>
        <v>12</v>
      </c>
      <c r="L4" s="160">
        <f t="shared" si="0"/>
        <v>12</v>
      </c>
      <c r="M4" s="160">
        <f t="shared" si="0"/>
        <v>14</v>
      </c>
      <c r="N4" s="160">
        <f t="shared" si="0"/>
        <v>14</v>
      </c>
      <c r="O4" s="160">
        <f t="shared" si="0"/>
        <v>8</v>
      </c>
      <c r="P4" s="160">
        <f t="shared" si="0"/>
        <v>14</v>
      </c>
      <c r="Q4" s="160">
        <f t="shared" si="0"/>
        <v>14</v>
      </c>
      <c r="R4" s="160">
        <f t="shared" si="0"/>
        <v>14</v>
      </c>
      <c r="S4" s="160">
        <f t="shared" si="0"/>
        <v>5</v>
      </c>
      <c r="T4" s="160">
        <f t="shared" si="0"/>
        <v>12</v>
      </c>
      <c r="U4" s="98">
        <f t="shared" si="0"/>
        <v>7</v>
      </c>
      <c r="V4" s="103">
        <f>AVERAGE(V5:V18)</f>
        <v>15.357142857142858</v>
      </c>
    </row>
    <row r="5" spans="1:22" s="102" customFormat="1" ht="12.95" customHeight="1" x14ac:dyDescent="0.2">
      <c r="A5" s="98">
        <v>1</v>
      </c>
      <c r="B5" s="152" t="s">
        <v>52</v>
      </c>
      <c r="C5" s="132" t="s">
        <v>99</v>
      </c>
      <c r="D5" s="132"/>
      <c r="E5" s="42" t="s">
        <v>99</v>
      </c>
      <c r="F5" s="132" t="s">
        <v>99</v>
      </c>
      <c r="G5" s="132" t="s">
        <v>99</v>
      </c>
      <c r="H5" s="132" t="s">
        <v>99</v>
      </c>
      <c r="I5" s="132" t="s">
        <v>99</v>
      </c>
      <c r="J5" s="132" t="s">
        <v>99</v>
      </c>
      <c r="K5" s="42" t="s">
        <v>99</v>
      </c>
      <c r="L5" s="132"/>
      <c r="M5" s="132" t="s">
        <v>99</v>
      </c>
      <c r="N5" s="132" t="s">
        <v>99</v>
      </c>
      <c r="O5" s="132"/>
      <c r="P5" s="132" t="s">
        <v>99</v>
      </c>
      <c r="Q5" s="132" t="s">
        <v>99</v>
      </c>
      <c r="R5" s="132" t="s">
        <v>99</v>
      </c>
      <c r="S5" s="132"/>
      <c r="T5" s="132" t="s">
        <v>99</v>
      </c>
      <c r="U5" s="42"/>
      <c r="V5" s="133">
        <f t="shared" ref="V5:V18" si="1">COUNTIF(C5:U5,"X")</f>
        <v>14</v>
      </c>
    </row>
    <row r="6" spans="1:22" s="102" customFormat="1" ht="12.75" customHeight="1" x14ac:dyDescent="0.2">
      <c r="A6" s="98">
        <v>2</v>
      </c>
      <c r="B6" s="153" t="s">
        <v>50</v>
      </c>
      <c r="C6" s="149" t="s">
        <v>99</v>
      </c>
      <c r="D6" s="132"/>
      <c r="E6" s="132" t="s">
        <v>99</v>
      </c>
      <c r="F6" s="132" t="s">
        <v>99</v>
      </c>
      <c r="G6" s="42" t="s">
        <v>99</v>
      </c>
      <c r="H6" s="42" t="s">
        <v>99</v>
      </c>
      <c r="I6" s="132" t="s">
        <v>99</v>
      </c>
      <c r="J6" s="132" t="s">
        <v>99</v>
      </c>
      <c r="K6" s="132" t="s">
        <v>99</v>
      </c>
      <c r="L6" s="132" t="s">
        <v>99</v>
      </c>
      <c r="M6" s="132" t="s">
        <v>99</v>
      </c>
      <c r="N6" s="132" t="s">
        <v>99</v>
      </c>
      <c r="O6" s="132" t="s">
        <v>99</v>
      </c>
      <c r="P6" s="132" t="s">
        <v>99</v>
      </c>
      <c r="Q6" s="42" t="s">
        <v>99</v>
      </c>
      <c r="R6" s="132" t="s">
        <v>99</v>
      </c>
      <c r="S6" s="132" t="s">
        <v>99</v>
      </c>
      <c r="T6" s="132" t="s">
        <v>99</v>
      </c>
      <c r="U6" s="132"/>
      <c r="V6" s="133">
        <f t="shared" si="1"/>
        <v>17</v>
      </c>
    </row>
    <row r="7" spans="1:22" s="102" customFormat="1" ht="12.95" customHeight="1" x14ac:dyDescent="0.2">
      <c r="A7" s="98">
        <v>3</v>
      </c>
      <c r="B7" s="152" t="s">
        <v>47</v>
      </c>
      <c r="C7" s="132" t="s">
        <v>99</v>
      </c>
      <c r="D7" s="132"/>
      <c r="E7" s="132" t="s">
        <v>99</v>
      </c>
      <c r="F7" s="132" t="s">
        <v>99</v>
      </c>
      <c r="G7" s="132" t="s">
        <v>99</v>
      </c>
      <c r="H7" s="132" t="s">
        <v>99</v>
      </c>
      <c r="I7" s="132" t="s">
        <v>99</v>
      </c>
      <c r="J7" s="132" t="s">
        <v>99</v>
      </c>
      <c r="K7" s="132" t="s">
        <v>99</v>
      </c>
      <c r="L7" s="132" t="s">
        <v>99</v>
      </c>
      <c r="M7" s="132" t="s">
        <v>99</v>
      </c>
      <c r="N7" s="132" t="s">
        <v>99</v>
      </c>
      <c r="O7" s="132" t="s">
        <v>99</v>
      </c>
      <c r="P7" s="132" t="s">
        <v>99</v>
      </c>
      <c r="Q7" s="42" t="s">
        <v>99</v>
      </c>
      <c r="R7" s="132" t="s">
        <v>99</v>
      </c>
      <c r="S7" s="132" t="s">
        <v>99</v>
      </c>
      <c r="T7" s="132" t="s">
        <v>99</v>
      </c>
      <c r="U7" s="132" t="s">
        <v>99</v>
      </c>
      <c r="V7" s="133">
        <f t="shared" si="1"/>
        <v>18</v>
      </c>
    </row>
    <row r="8" spans="1:22" s="102" customFormat="1" ht="12.95" customHeight="1" x14ac:dyDescent="0.2">
      <c r="A8" s="98">
        <v>4</v>
      </c>
      <c r="B8" s="153" t="s">
        <v>49</v>
      </c>
      <c r="C8" s="149" t="s">
        <v>99</v>
      </c>
      <c r="D8" s="132"/>
      <c r="E8" s="42" t="s">
        <v>99</v>
      </c>
      <c r="F8" s="132" t="s">
        <v>99</v>
      </c>
      <c r="G8" s="132" t="s">
        <v>99</v>
      </c>
      <c r="H8" s="132" t="s">
        <v>99</v>
      </c>
      <c r="I8" s="132" t="s">
        <v>99</v>
      </c>
      <c r="J8" s="132" t="s">
        <v>99</v>
      </c>
      <c r="K8" s="132" t="s">
        <v>99</v>
      </c>
      <c r="L8" s="132" t="s">
        <v>99</v>
      </c>
      <c r="M8" s="132" t="s">
        <v>99</v>
      </c>
      <c r="N8" s="132" t="s">
        <v>99</v>
      </c>
      <c r="O8" s="132"/>
      <c r="P8" s="132" t="s">
        <v>99</v>
      </c>
      <c r="Q8" s="132" t="s">
        <v>99</v>
      </c>
      <c r="R8" s="132" t="s">
        <v>99</v>
      </c>
      <c r="S8" s="132"/>
      <c r="T8" s="132" t="s">
        <v>99</v>
      </c>
      <c r="U8" s="132" t="s">
        <v>99</v>
      </c>
      <c r="V8" s="133">
        <f t="shared" si="1"/>
        <v>16</v>
      </c>
    </row>
    <row r="9" spans="1:22" s="102" customFormat="1" ht="12.75" customHeight="1" x14ac:dyDescent="0.2">
      <c r="A9" s="98">
        <v>5</v>
      </c>
      <c r="B9" s="153" t="s">
        <v>59</v>
      </c>
      <c r="C9" s="149" t="s">
        <v>99</v>
      </c>
      <c r="D9" s="132"/>
      <c r="E9" s="132" t="s">
        <v>99</v>
      </c>
      <c r="F9" s="132" t="s">
        <v>99</v>
      </c>
      <c r="G9" s="132"/>
      <c r="H9" s="132" t="s">
        <v>99</v>
      </c>
      <c r="I9" s="132" t="s">
        <v>99</v>
      </c>
      <c r="J9" s="132" t="s">
        <v>99</v>
      </c>
      <c r="K9" s="132" t="s">
        <v>99</v>
      </c>
      <c r="L9" s="132" t="s">
        <v>99</v>
      </c>
      <c r="M9" s="132" t="s">
        <v>99</v>
      </c>
      <c r="N9" s="132" t="s">
        <v>99</v>
      </c>
      <c r="O9" s="132" t="s">
        <v>99</v>
      </c>
      <c r="P9" s="132" t="s">
        <v>99</v>
      </c>
      <c r="Q9" s="132" t="s">
        <v>99</v>
      </c>
      <c r="R9" s="132" t="s">
        <v>99</v>
      </c>
      <c r="S9" s="132"/>
      <c r="T9" s="132" t="s">
        <v>99</v>
      </c>
      <c r="U9" s="132"/>
      <c r="V9" s="133">
        <f t="shared" si="1"/>
        <v>15</v>
      </c>
    </row>
    <row r="10" spans="1:22" s="102" customFormat="1" ht="12.95" customHeight="1" x14ac:dyDescent="0.2">
      <c r="A10" s="98">
        <v>6</v>
      </c>
      <c r="B10" s="153" t="s">
        <v>48</v>
      </c>
      <c r="C10" s="149" t="s">
        <v>99</v>
      </c>
      <c r="D10" s="132"/>
      <c r="E10" s="132" t="s">
        <v>99</v>
      </c>
      <c r="F10" s="132" t="s">
        <v>99</v>
      </c>
      <c r="G10" s="42" t="s">
        <v>99</v>
      </c>
      <c r="H10" s="132" t="s">
        <v>99</v>
      </c>
      <c r="I10" s="132" t="s">
        <v>99</v>
      </c>
      <c r="J10" s="132" t="s">
        <v>99</v>
      </c>
      <c r="K10" s="132"/>
      <c r="L10" s="132"/>
      <c r="M10" s="132" t="s">
        <v>99</v>
      </c>
      <c r="N10" s="132" t="s">
        <v>99</v>
      </c>
      <c r="O10" s="132"/>
      <c r="P10" s="132" t="s">
        <v>99</v>
      </c>
      <c r="Q10" s="132" t="s">
        <v>99</v>
      </c>
      <c r="R10" s="132" t="s">
        <v>99</v>
      </c>
      <c r="S10" s="132" t="s">
        <v>99</v>
      </c>
      <c r="T10" s="42" t="s">
        <v>99</v>
      </c>
      <c r="U10" s="132" t="s">
        <v>99</v>
      </c>
      <c r="V10" s="133">
        <f t="shared" si="1"/>
        <v>15</v>
      </c>
    </row>
    <row r="11" spans="1:22" s="102" customFormat="1" ht="12.75" customHeight="1" x14ac:dyDescent="0.2">
      <c r="A11" s="98">
        <v>7</v>
      </c>
      <c r="B11" s="153" t="s">
        <v>51</v>
      </c>
      <c r="C11" s="149" t="s">
        <v>99</v>
      </c>
      <c r="D11" s="132"/>
      <c r="E11" s="132" t="s">
        <v>99</v>
      </c>
      <c r="F11" s="132" t="s">
        <v>99</v>
      </c>
      <c r="G11" s="132" t="s">
        <v>99</v>
      </c>
      <c r="H11" s="132" t="s">
        <v>99</v>
      </c>
      <c r="I11" s="132" t="s">
        <v>99</v>
      </c>
      <c r="J11" s="132" t="s">
        <v>99</v>
      </c>
      <c r="K11" s="132" t="s">
        <v>99</v>
      </c>
      <c r="L11" s="132" t="s">
        <v>99</v>
      </c>
      <c r="M11" s="132" t="s">
        <v>99</v>
      </c>
      <c r="N11" s="132" t="s">
        <v>99</v>
      </c>
      <c r="O11" s="132"/>
      <c r="P11" s="132" t="s">
        <v>99</v>
      </c>
      <c r="Q11" s="132" t="s">
        <v>99</v>
      </c>
      <c r="R11" s="132" t="s">
        <v>99</v>
      </c>
      <c r="S11" s="42" t="s">
        <v>99</v>
      </c>
      <c r="T11" s="132"/>
      <c r="U11" s="132" t="s">
        <v>99</v>
      </c>
      <c r="V11" s="133">
        <f t="shared" si="1"/>
        <v>16</v>
      </c>
    </row>
    <row r="12" spans="1:22" s="102" customFormat="1" ht="12.95" customHeight="1" x14ac:dyDescent="0.2">
      <c r="A12" s="98">
        <v>8</v>
      </c>
      <c r="B12" s="153" t="s">
        <v>46</v>
      </c>
      <c r="C12" s="149" t="s">
        <v>99</v>
      </c>
      <c r="D12" s="132"/>
      <c r="E12" s="132" t="s">
        <v>99</v>
      </c>
      <c r="F12" s="132" t="s">
        <v>99</v>
      </c>
      <c r="G12" s="132" t="s">
        <v>99</v>
      </c>
      <c r="H12" s="132" t="s">
        <v>99</v>
      </c>
      <c r="I12" s="132" t="s">
        <v>99</v>
      </c>
      <c r="J12" s="132" t="s">
        <v>99</v>
      </c>
      <c r="K12" s="132" t="s">
        <v>99</v>
      </c>
      <c r="L12" s="132" t="s">
        <v>99</v>
      </c>
      <c r="M12" s="132" t="s">
        <v>99</v>
      </c>
      <c r="N12" s="132" t="s">
        <v>99</v>
      </c>
      <c r="O12" s="132" t="s">
        <v>99</v>
      </c>
      <c r="P12" s="132" t="s">
        <v>99</v>
      </c>
      <c r="Q12" s="132" t="s">
        <v>99</v>
      </c>
      <c r="R12" s="132" t="s">
        <v>99</v>
      </c>
      <c r="S12" s="132"/>
      <c r="T12" s="132" t="s">
        <v>99</v>
      </c>
      <c r="U12" s="132"/>
      <c r="V12" s="133">
        <f t="shared" si="1"/>
        <v>16</v>
      </c>
    </row>
    <row r="13" spans="1:22" s="102" customFormat="1" ht="12.95" customHeight="1" x14ac:dyDescent="0.2">
      <c r="A13" s="98">
        <v>9</v>
      </c>
      <c r="B13" s="153" t="s">
        <v>53</v>
      </c>
      <c r="C13" s="149" t="s">
        <v>99</v>
      </c>
      <c r="D13" s="132"/>
      <c r="E13" s="132" t="s">
        <v>99</v>
      </c>
      <c r="F13" s="132" t="s">
        <v>99</v>
      </c>
      <c r="G13" s="132"/>
      <c r="H13" s="132" t="s">
        <v>99</v>
      </c>
      <c r="I13" s="132" t="s">
        <v>99</v>
      </c>
      <c r="J13" s="132" t="s">
        <v>99</v>
      </c>
      <c r="K13" s="132" t="s">
        <v>99</v>
      </c>
      <c r="L13" s="132" t="s">
        <v>99</v>
      </c>
      <c r="M13" s="132" t="s">
        <v>99</v>
      </c>
      <c r="N13" s="132" t="s">
        <v>99</v>
      </c>
      <c r="O13" s="132"/>
      <c r="P13" s="132" t="s">
        <v>99</v>
      </c>
      <c r="Q13" s="132" t="s">
        <v>99</v>
      </c>
      <c r="R13" s="132" t="s">
        <v>99</v>
      </c>
      <c r="S13" s="132"/>
      <c r="T13" s="132" t="s">
        <v>99</v>
      </c>
      <c r="U13" s="132"/>
      <c r="V13" s="133">
        <f t="shared" si="1"/>
        <v>14</v>
      </c>
    </row>
    <row r="14" spans="1:22" s="102" customFormat="1" ht="12.95" customHeight="1" x14ac:dyDescent="0.2">
      <c r="A14" s="98">
        <v>10</v>
      </c>
      <c r="B14" s="152" t="s">
        <v>58</v>
      </c>
      <c r="C14" s="149" t="s">
        <v>99</v>
      </c>
      <c r="D14" s="132"/>
      <c r="E14" s="42" t="s">
        <v>99</v>
      </c>
      <c r="F14" s="132" t="s">
        <v>99</v>
      </c>
      <c r="G14" s="42" t="s">
        <v>99</v>
      </c>
      <c r="H14" s="132" t="s">
        <v>99</v>
      </c>
      <c r="I14" s="132" t="s">
        <v>99</v>
      </c>
      <c r="J14" s="132" t="s">
        <v>99</v>
      </c>
      <c r="K14" s="132" t="s">
        <v>99</v>
      </c>
      <c r="L14" s="132" t="s">
        <v>99</v>
      </c>
      <c r="M14" s="132" t="s">
        <v>99</v>
      </c>
      <c r="N14" s="132" t="s">
        <v>99</v>
      </c>
      <c r="O14" s="132" t="s">
        <v>99</v>
      </c>
      <c r="P14" s="132" t="s">
        <v>99</v>
      </c>
      <c r="Q14" s="132" t="s">
        <v>99</v>
      </c>
      <c r="R14" s="132" t="s">
        <v>99</v>
      </c>
      <c r="S14" s="132" t="s">
        <v>99</v>
      </c>
      <c r="T14" s="132" t="s">
        <v>99</v>
      </c>
      <c r="U14" s="132"/>
      <c r="V14" s="133">
        <f t="shared" si="1"/>
        <v>17</v>
      </c>
    </row>
    <row r="15" spans="1:22" s="102" customFormat="1" ht="12.95" customHeight="1" x14ac:dyDescent="0.2">
      <c r="A15" s="98">
        <v>11</v>
      </c>
      <c r="B15" s="153" t="s">
        <v>55</v>
      </c>
      <c r="C15" s="149" t="s">
        <v>99</v>
      </c>
      <c r="D15" s="132"/>
      <c r="E15" s="132" t="s">
        <v>99</v>
      </c>
      <c r="F15" s="132" t="s">
        <v>99</v>
      </c>
      <c r="G15" s="132" t="s">
        <v>99</v>
      </c>
      <c r="H15" s="132"/>
      <c r="I15" s="132" t="s">
        <v>99</v>
      </c>
      <c r="J15" s="132" t="s">
        <v>99</v>
      </c>
      <c r="K15" s="132" t="s">
        <v>99</v>
      </c>
      <c r="L15" s="132" t="s">
        <v>99</v>
      </c>
      <c r="M15" s="132" t="s">
        <v>99</v>
      </c>
      <c r="N15" s="132" t="s">
        <v>99</v>
      </c>
      <c r="O15" s="132" t="s">
        <v>99</v>
      </c>
      <c r="P15" s="132" t="s">
        <v>99</v>
      </c>
      <c r="Q15" s="132" t="s">
        <v>99</v>
      </c>
      <c r="R15" s="132" t="s">
        <v>99</v>
      </c>
      <c r="S15" s="132"/>
      <c r="T15" s="132" t="s">
        <v>99</v>
      </c>
      <c r="U15" s="42" t="s">
        <v>99</v>
      </c>
      <c r="V15" s="133">
        <f t="shared" si="1"/>
        <v>16</v>
      </c>
    </row>
    <row r="16" spans="1:22" s="102" customFormat="1" ht="12.95" customHeight="1" x14ac:dyDescent="0.2">
      <c r="A16" s="98">
        <v>12</v>
      </c>
      <c r="B16" s="153" t="s">
        <v>54</v>
      </c>
      <c r="C16" s="149" t="s">
        <v>99</v>
      </c>
      <c r="D16" s="132"/>
      <c r="E16" s="132" t="s">
        <v>99</v>
      </c>
      <c r="F16" s="132" t="s">
        <v>99</v>
      </c>
      <c r="G16" s="132" t="s">
        <v>99</v>
      </c>
      <c r="H16" s="132"/>
      <c r="I16" s="132" t="s">
        <v>99</v>
      </c>
      <c r="J16" s="132" t="s">
        <v>99</v>
      </c>
      <c r="K16" s="132" t="s">
        <v>99</v>
      </c>
      <c r="L16" s="132" t="s">
        <v>99</v>
      </c>
      <c r="M16" s="132" t="s">
        <v>99</v>
      </c>
      <c r="N16" s="132" t="s">
        <v>99</v>
      </c>
      <c r="O16" s="132" t="s">
        <v>99</v>
      </c>
      <c r="P16" s="132" t="s">
        <v>99</v>
      </c>
      <c r="Q16" s="132" t="s">
        <v>99</v>
      </c>
      <c r="R16" s="132" t="s">
        <v>99</v>
      </c>
      <c r="S16" s="132"/>
      <c r="T16" s="132" t="s">
        <v>99</v>
      </c>
      <c r="U16" s="42"/>
      <c r="V16" s="133">
        <f t="shared" si="1"/>
        <v>15</v>
      </c>
    </row>
    <row r="17" spans="1:24" s="102" customFormat="1" ht="12.95" customHeight="1" x14ac:dyDescent="0.2">
      <c r="A17" s="98">
        <v>13</v>
      </c>
      <c r="B17" s="153" t="s">
        <v>56</v>
      </c>
      <c r="C17" s="149" t="s">
        <v>99</v>
      </c>
      <c r="D17" s="132"/>
      <c r="E17" s="132"/>
      <c r="F17" s="132" t="s">
        <v>99</v>
      </c>
      <c r="G17" s="132"/>
      <c r="H17" s="132" t="s">
        <v>99</v>
      </c>
      <c r="I17" s="132" t="s">
        <v>99</v>
      </c>
      <c r="J17" s="132" t="s">
        <v>99</v>
      </c>
      <c r="K17" s="132"/>
      <c r="L17" s="132" t="s">
        <v>99</v>
      </c>
      <c r="M17" s="132" t="s">
        <v>99</v>
      </c>
      <c r="N17" s="132" t="s">
        <v>99</v>
      </c>
      <c r="O17" s="132"/>
      <c r="P17" s="132" t="s">
        <v>99</v>
      </c>
      <c r="Q17" s="132" t="s">
        <v>99</v>
      </c>
      <c r="R17" s="132" t="s">
        <v>99</v>
      </c>
      <c r="S17" s="132"/>
      <c r="T17" s="132" t="s">
        <v>99</v>
      </c>
      <c r="U17" s="132" t="s">
        <v>99</v>
      </c>
      <c r="V17" s="133">
        <f t="shared" si="1"/>
        <v>13</v>
      </c>
    </row>
    <row r="18" spans="1:24" s="102" customFormat="1" ht="12.95" customHeight="1" x14ac:dyDescent="0.2">
      <c r="A18" s="98">
        <v>14</v>
      </c>
      <c r="B18" s="153" t="s">
        <v>57</v>
      </c>
      <c r="C18" s="149" t="s">
        <v>99</v>
      </c>
      <c r="D18" s="132"/>
      <c r="E18" s="132"/>
      <c r="F18" s="132" t="s">
        <v>99</v>
      </c>
      <c r="G18" s="132"/>
      <c r="H18" s="132"/>
      <c r="I18" s="132" t="s">
        <v>99</v>
      </c>
      <c r="J18" s="132" t="s">
        <v>99</v>
      </c>
      <c r="K18" s="132" t="s">
        <v>99</v>
      </c>
      <c r="L18" s="132" t="s">
        <v>99</v>
      </c>
      <c r="M18" s="132" t="s">
        <v>99</v>
      </c>
      <c r="N18" s="132" t="s">
        <v>99</v>
      </c>
      <c r="O18" s="132" t="s">
        <v>99</v>
      </c>
      <c r="P18" s="132" t="s">
        <v>99</v>
      </c>
      <c r="Q18" s="42" t="s">
        <v>99</v>
      </c>
      <c r="R18" s="132" t="s">
        <v>99</v>
      </c>
      <c r="S18" s="132"/>
      <c r="T18" s="132"/>
      <c r="U18" s="132" t="s">
        <v>99</v>
      </c>
      <c r="V18" s="133">
        <f t="shared" si="1"/>
        <v>13</v>
      </c>
    </row>
    <row r="19" spans="1:24" s="106" customFormat="1" ht="30.75" customHeight="1" x14ac:dyDescent="0.3">
      <c r="A19" s="311" t="s">
        <v>142</v>
      </c>
      <c r="B19" s="312"/>
      <c r="C19" s="160" t="e">
        <f>#REF!+#REF!+C4+#REF!+#REF!</f>
        <v>#REF!</v>
      </c>
      <c r="D19" s="160" t="e">
        <f>#REF!+#REF!+D4+#REF!+#REF!</f>
        <v>#REF!</v>
      </c>
      <c r="E19" s="160" t="e">
        <f>#REF!+#REF!+E4+#REF!+#REF!</f>
        <v>#REF!</v>
      </c>
      <c r="F19" s="160" t="e">
        <f>#REF!+#REF!+F4+#REF!+#REF!</f>
        <v>#REF!</v>
      </c>
      <c r="G19" s="160" t="e">
        <f>#REF!+#REF!+G4+#REF!+#REF!</f>
        <v>#REF!</v>
      </c>
      <c r="H19" s="160" t="e">
        <f>#REF!+#REF!+H4+#REF!+#REF!</f>
        <v>#REF!</v>
      </c>
      <c r="I19" s="160" t="e">
        <f>#REF!+#REF!+I4+#REF!+#REF!</f>
        <v>#REF!</v>
      </c>
      <c r="J19" s="160" t="e">
        <f>#REF!+#REF!+J4+#REF!+#REF!</f>
        <v>#REF!</v>
      </c>
      <c r="K19" s="160" t="e">
        <f>#REF!+#REF!+K4+#REF!+#REF!</f>
        <v>#REF!</v>
      </c>
      <c r="L19" s="160" t="e">
        <f>#REF!+#REF!+L4+#REF!+#REF!</f>
        <v>#REF!</v>
      </c>
      <c r="M19" s="160" t="e">
        <f>#REF!+#REF!+M4+#REF!+#REF!</f>
        <v>#REF!</v>
      </c>
      <c r="N19" s="160" t="e">
        <f>#REF!+#REF!+N4+#REF!+#REF!</f>
        <v>#REF!</v>
      </c>
      <c r="O19" s="160" t="e">
        <f>#REF!+#REF!+O4+#REF!+#REF!</f>
        <v>#REF!</v>
      </c>
      <c r="P19" s="160" t="e">
        <f>#REF!+#REF!+P4+#REF!+#REF!</f>
        <v>#REF!</v>
      </c>
      <c r="Q19" s="160" t="e">
        <f>#REF!+#REF!+Q4+#REF!+#REF!</f>
        <v>#REF!</v>
      </c>
      <c r="R19" s="160" t="e">
        <f>#REF!+#REF!+R4+#REF!+#REF!</f>
        <v>#REF!</v>
      </c>
      <c r="S19" s="160" t="e">
        <f>#REF!+#REF!+S4+#REF!+#REF!</f>
        <v>#REF!</v>
      </c>
      <c r="T19" s="160" t="e">
        <f>#REF!+#REF!+T4+#REF!+#REF!</f>
        <v>#REF!</v>
      </c>
      <c r="U19" s="98" t="e">
        <f>#REF!+#REF!+U4+#REF!+#REF!</f>
        <v>#REF!</v>
      </c>
      <c r="V19" s="155" t="e">
        <f>(SUM(#REF!)+SUM(#REF!)+SUM(V5:V18)+SUM(#REF!)+SUM(#REF!))/56</f>
        <v>#REF!</v>
      </c>
      <c r="W19" s="105"/>
      <c r="X19" s="137"/>
    </row>
    <row r="20" spans="1:24" s="107" customFormat="1" ht="21" customHeight="1" x14ac:dyDescent="0.2">
      <c r="A20" s="313" t="s">
        <v>143</v>
      </c>
      <c r="B20" s="314"/>
      <c r="C20" s="144" t="e">
        <f t="shared" ref="C20:U20" si="2">100*C19/56</f>
        <v>#REF!</v>
      </c>
      <c r="D20" s="145" t="e">
        <f t="shared" si="2"/>
        <v>#REF!</v>
      </c>
      <c r="E20" s="145" t="e">
        <f t="shared" si="2"/>
        <v>#REF!</v>
      </c>
      <c r="F20" s="144" t="e">
        <f t="shared" si="2"/>
        <v>#REF!</v>
      </c>
      <c r="G20" s="145" t="e">
        <f t="shared" si="2"/>
        <v>#REF!</v>
      </c>
      <c r="H20" s="145" t="e">
        <f t="shared" si="2"/>
        <v>#REF!</v>
      </c>
      <c r="I20" s="144" t="e">
        <f t="shared" si="2"/>
        <v>#REF!</v>
      </c>
      <c r="J20" s="144" t="e">
        <f t="shared" si="2"/>
        <v>#REF!</v>
      </c>
      <c r="K20" s="145" t="e">
        <f t="shared" si="2"/>
        <v>#REF!</v>
      </c>
      <c r="L20" s="145" t="e">
        <f t="shared" si="2"/>
        <v>#REF!</v>
      </c>
      <c r="M20" s="144" t="e">
        <f t="shared" si="2"/>
        <v>#REF!</v>
      </c>
      <c r="N20" s="144" t="e">
        <f t="shared" si="2"/>
        <v>#REF!</v>
      </c>
      <c r="O20" s="145" t="e">
        <f t="shared" si="2"/>
        <v>#REF!</v>
      </c>
      <c r="P20" s="145" t="e">
        <f t="shared" si="2"/>
        <v>#REF!</v>
      </c>
      <c r="Q20" s="145" t="e">
        <f>100*Q19/56</f>
        <v>#REF!</v>
      </c>
      <c r="R20" s="144" t="e">
        <f t="shared" si="2"/>
        <v>#REF!</v>
      </c>
      <c r="S20" s="145" t="e">
        <f t="shared" si="2"/>
        <v>#REF!</v>
      </c>
      <c r="T20" s="145" t="e">
        <f t="shared" si="2"/>
        <v>#REF!</v>
      </c>
      <c r="U20" s="143" t="e">
        <f t="shared" si="2"/>
        <v>#REF!</v>
      </c>
      <c r="V20" s="142"/>
    </row>
    <row r="21" spans="1:24" s="107" customFormat="1" ht="16.5" customHeight="1" x14ac:dyDescent="0.2">
      <c r="A21" s="315" t="s">
        <v>184</v>
      </c>
      <c r="B21" s="316"/>
      <c r="C21" s="316"/>
      <c r="D21" s="316"/>
      <c r="E21" s="316"/>
      <c r="F21" s="316"/>
      <c r="G21" s="316"/>
      <c r="H21" s="316"/>
      <c r="I21" s="316"/>
      <c r="J21" s="316"/>
      <c r="K21" s="316"/>
      <c r="L21" s="316"/>
      <c r="M21" s="316"/>
      <c r="N21" s="316"/>
      <c r="O21" s="316"/>
      <c r="P21" s="316"/>
      <c r="Q21" s="316"/>
      <c r="R21" s="316"/>
      <c r="S21" s="316"/>
      <c r="T21" s="316"/>
      <c r="U21" s="316"/>
      <c r="V21" s="317"/>
    </row>
    <row r="22" spans="1:24" ht="18.75" x14ac:dyDescent="0.3">
      <c r="K22" s="108"/>
      <c r="L22" s="108"/>
      <c r="M22" s="109"/>
      <c r="N22" s="109"/>
      <c r="O22" s="108"/>
      <c r="P22" s="108"/>
      <c r="Q22" s="108"/>
      <c r="R22" s="108"/>
      <c r="S22" s="108"/>
      <c r="T22" s="108"/>
      <c r="U22" s="108"/>
      <c r="V22" s="110"/>
    </row>
    <row r="23" spans="1:24" ht="31.5" customHeight="1" x14ac:dyDescent="0.2">
      <c r="C23" s="304" t="s">
        <v>76</v>
      </c>
      <c r="D23" s="304" t="s">
        <v>77</v>
      </c>
      <c r="E23" s="304"/>
      <c r="F23" s="304"/>
      <c r="G23" s="304"/>
      <c r="H23" s="305" t="s">
        <v>185</v>
      </c>
      <c r="I23" s="306"/>
      <c r="K23" s="307"/>
      <c r="L23" s="304" t="s">
        <v>76</v>
      </c>
      <c r="M23" s="304" t="s">
        <v>77</v>
      </c>
      <c r="N23" s="304"/>
      <c r="O23" s="304"/>
      <c r="P23" s="305" t="s">
        <v>185</v>
      </c>
      <c r="Q23" s="306"/>
    </row>
    <row r="24" spans="1:24" ht="28.5" customHeight="1" x14ac:dyDescent="0.2">
      <c r="C24" s="304"/>
      <c r="D24" s="304"/>
      <c r="E24" s="304"/>
      <c r="F24" s="304"/>
      <c r="G24" s="304"/>
      <c r="H24" s="111" t="s">
        <v>144</v>
      </c>
      <c r="I24" s="111" t="s">
        <v>80</v>
      </c>
      <c r="K24" s="307"/>
      <c r="L24" s="304"/>
      <c r="M24" s="304"/>
      <c r="N24" s="304"/>
      <c r="O24" s="304"/>
      <c r="P24" s="111" t="s">
        <v>144</v>
      </c>
      <c r="Q24" s="111" t="s">
        <v>80</v>
      </c>
    </row>
    <row r="25" spans="1:24" ht="15.75" x14ac:dyDescent="0.2">
      <c r="C25" s="112">
        <v>1</v>
      </c>
      <c r="D25" s="298" t="s">
        <v>145</v>
      </c>
      <c r="E25" s="299"/>
      <c r="F25" s="299"/>
      <c r="G25" s="300"/>
      <c r="H25" s="156" t="e">
        <f>COUNTIF(#REF!,1)+COUNTIF($V$5:$V$18,1)+COUNTIF(#REF!,1)+COUNTIF(#REF!,1)+COUNTIF(#REF!,1)</f>
        <v>#REF!</v>
      </c>
      <c r="I25" s="113" t="e">
        <f t="shared" ref="I25:I43" si="3">H25/$H$44*100</f>
        <v>#REF!</v>
      </c>
      <c r="K25" s="158"/>
      <c r="L25" s="85">
        <v>1</v>
      </c>
      <c r="M25" s="298" t="s">
        <v>146</v>
      </c>
      <c r="N25" s="299"/>
      <c r="O25" s="300"/>
      <c r="P25" s="114" t="e">
        <f>C19</f>
        <v>#REF!</v>
      </c>
      <c r="Q25" s="113" t="e">
        <f t="shared" ref="Q25:Q43" si="4">P25/$H$44*100</f>
        <v>#REF!</v>
      </c>
    </row>
    <row r="26" spans="1:24" ht="15.75" x14ac:dyDescent="0.2">
      <c r="C26" s="112">
        <v>2</v>
      </c>
      <c r="D26" s="298" t="s">
        <v>147</v>
      </c>
      <c r="E26" s="299"/>
      <c r="F26" s="299"/>
      <c r="G26" s="300"/>
      <c r="H26" s="114" t="e">
        <f>COUNTIF(#REF!,2)+COUNTIF($V$5:$V$18,2)+COUNTIF(#REF!,2)+COUNTIF(#REF!,2)+COUNTIF(#REF!,2)</f>
        <v>#REF!</v>
      </c>
      <c r="I26" s="113" t="e">
        <f t="shared" si="3"/>
        <v>#REF!</v>
      </c>
      <c r="K26" s="158"/>
      <c r="L26" s="85">
        <v>2</v>
      </c>
      <c r="M26" s="298" t="s">
        <v>148</v>
      </c>
      <c r="N26" s="299"/>
      <c r="O26" s="300"/>
      <c r="P26" s="114" t="e">
        <f>D19</f>
        <v>#REF!</v>
      </c>
      <c r="Q26" s="113" t="e">
        <f t="shared" si="4"/>
        <v>#REF!</v>
      </c>
    </row>
    <row r="27" spans="1:24" s="115" customFormat="1" ht="18" customHeight="1" x14ac:dyDescent="0.2">
      <c r="C27" s="112">
        <v>3</v>
      </c>
      <c r="D27" s="298" t="s">
        <v>149</v>
      </c>
      <c r="E27" s="299"/>
      <c r="F27" s="299"/>
      <c r="G27" s="300"/>
      <c r="H27" s="114" t="e">
        <f>COUNTIF(#REF!,3)+COUNTIF($V$5:$V$18,3)+COUNTIF(#REF!,3)+COUNTIF(#REF!,3)+COUNTIF(#REF!,3)</f>
        <v>#REF!</v>
      </c>
      <c r="I27" s="113" t="e">
        <f t="shared" si="3"/>
        <v>#REF!</v>
      </c>
      <c r="J27" s="116"/>
      <c r="K27" s="158"/>
      <c r="L27" s="85">
        <v>3</v>
      </c>
      <c r="M27" s="298" t="s">
        <v>150</v>
      </c>
      <c r="N27" s="299"/>
      <c r="O27" s="300"/>
      <c r="P27" s="114" t="e">
        <f>E19</f>
        <v>#REF!</v>
      </c>
      <c r="Q27" s="113" t="e">
        <f t="shared" si="4"/>
        <v>#REF!</v>
      </c>
      <c r="T27" s="117"/>
    </row>
    <row r="28" spans="1:24" s="115" customFormat="1" ht="18" customHeight="1" x14ac:dyDescent="0.2">
      <c r="C28" s="112">
        <v>4</v>
      </c>
      <c r="D28" s="298" t="s">
        <v>151</v>
      </c>
      <c r="E28" s="299"/>
      <c r="F28" s="299"/>
      <c r="G28" s="300"/>
      <c r="H28" s="114" t="e">
        <f>COUNTIF(#REF!,4)+COUNTIF($V$5:$V$18,4)+COUNTIF(#REF!,4)+COUNTIF(#REF!,4)+COUNTIF(#REF!,4)</f>
        <v>#REF!</v>
      </c>
      <c r="I28" s="113" t="e">
        <f t="shared" si="3"/>
        <v>#REF!</v>
      </c>
      <c r="J28" s="116"/>
      <c r="K28" s="158"/>
      <c r="L28" s="85">
        <v>4</v>
      </c>
      <c r="M28" s="298" t="s">
        <v>152</v>
      </c>
      <c r="N28" s="299"/>
      <c r="O28" s="300"/>
      <c r="P28" s="114" t="e">
        <f>F19</f>
        <v>#REF!</v>
      </c>
      <c r="Q28" s="113" t="e">
        <f t="shared" si="4"/>
        <v>#REF!</v>
      </c>
      <c r="T28" s="117"/>
    </row>
    <row r="29" spans="1:24" s="115" customFormat="1" ht="18" customHeight="1" x14ac:dyDescent="0.2">
      <c r="C29" s="112">
        <v>5</v>
      </c>
      <c r="D29" s="298" t="s">
        <v>153</v>
      </c>
      <c r="E29" s="299"/>
      <c r="F29" s="299"/>
      <c r="G29" s="300"/>
      <c r="H29" s="114" t="e">
        <f>COUNTIF(#REF!,5)+COUNTIF($V$5:$V$18,5)+COUNTIF(#REF!,5)+COUNTIF(#REF!,5)+COUNTIF(#REF!,5)</f>
        <v>#REF!</v>
      </c>
      <c r="I29" s="113" t="e">
        <f t="shared" si="3"/>
        <v>#REF!</v>
      </c>
      <c r="J29" s="118"/>
      <c r="K29" s="158"/>
      <c r="L29" s="85">
        <v>5</v>
      </c>
      <c r="M29" s="298" t="s">
        <v>154</v>
      </c>
      <c r="N29" s="299"/>
      <c r="O29" s="300"/>
      <c r="P29" s="114" t="e">
        <f>G19</f>
        <v>#REF!</v>
      </c>
      <c r="Q29" s="113" t="e">
        <f t="shared" si="4"/>
        <v>#REF!</v>
      </c>
      <c r="T29" s="117"/>
    </row>
    <row r="30" spans="1:24" s="115" customFormat="1" ht="18" customHeight="1" x14ac:dyDescent="0.2">
      <c r="C30" s="112">
        <v>6</v>
      </c>
      <c r="D30" s="298" t="s">
        <v>155</v>
      </c>
      <c r="E30" s="299"/>
      <c r="F30" s="299"/>
      <c r="G30" s="300"/>
      <c r="H30" s="114" t="e">
        <f>COUNTIF(#REF!,6)+COUNTIF($V$5:$V$18,6)+COUNTIF(#REF!,6)+COUNTIF(#REF!,6)+COUNTIF(#REF!,6)</f>
        <v>#REF!</v>
      </c>
      <c r="I30" s="113" t="e">
        <f t="shared" si="3"/>
        <v>#REF!</v>
      </c>
      <c r="J30" s="118"/>
      <c r="K30" s="158"/>
      <c r="L30" s="85">
        <v>6</v>
      </c>
      <c r="M30" s="298" t="s">
        <v>156</v>
      </c>
      <c r="N30" s="299"/>
      <c r="O30" s="300"/>
      <c r="P30" s="114" t="e">
        <f>H19</f>
        <v>#REF!</v>
      </c>
      <c r="Q30" s="113" t="e">
        <f t="shared" si="4"/>
        <v>#REF!</v>
      </c>
      <c r="T30" s="117"/>
    </row>
    <row r="31" spans="1:24" s="115" customFormat="1" ht="18" customHeight="1" x14ac:dyDescent="0.2">
      <c r="C31" s="112">
        <v>7</v>
      </c>
      <c r="D31" s="298" t="s">
        <v>157</v>
      </c>
      <c r="E31" s="299"/>
      <c r="F31" s="299"/>
      <c r="G31" s="300"/>
      <c r="H31" s="114" t="e">
        <f>COUNTIF(#REF!,7)+COUNTIF($V$5:$V$18,7)+COUNTIF(#REF!,7)+COUNTIF(#REF!,7)+COUNTIF(#REF!,7)</f>
        <v>#REF!</v>
      </c>
      <c r="I31" s="113" t="e">
        <f t="shared" si="3"/>
        <v>#REF!</v>
      </c>
      <c r="J31" s="118"/>
      <c r="K31" s="158"/>
      <c r="L31" s="85">
        <v>7</v>
      </c>
      <c r="M31" s="298" t="s">
        <v>158</v>
      </c>
      <c r="N31" s="299"/>
      <c r="O31" s="300"/>
      <c r="P31" s="114" t="e">
        <f>I19</f>
        <v>#REF!</v>
      </c>
      <c r="Q31" s="113" t="e">
        <f t="shared" si="4"/>
        <v>#REF!</v>
      </c>
      <c r="T31" s="117"/>
    </row>
    <row r="32" spans="1:24" s="115" customFormat="1" ht="18" customHeight="1" x14ac:dyDescent="0.2">
      <c r="C32" s="112">
        <v>8</v>
      </c>
      <c r="D32" s="298" t="s">
        <v>159</v>
      </c>
      <c r="E32" s="299"/>
      <c r="F32" s="299"/>
      <c r="G32" s="300"/>
      <c r="H32" s="114" t="e">
        <f>COUNTIF(#REF!,8)+COUNTIF($V$5:$V$18,8)+COUNTIF(#REF!,8)+COUNTIF(#REF!,8)+COUNTIF(#REF!,8)</f>
        <v>#REF!</v>
      </c>
      <c r="I32" s="113" t="e">
        <f t="shared" si="3"/>
        <v>#REF!</v>
      </c>
      <c r="J32" s="118"/>
      <c r="K32" s="158"/>
      <c r="L32" s="85">
        <v>8</v>
      </c>
      <c r="M32" s="298" t="s">
        <v>160</v>
      </c>
      <c r="N32" s="299"/>
      <c r="O32" s="300"/>
      <c r="P32" s="114" t="e">
        <f>J19</f>
        <v>#REF!</v>
      </c>
      <c r="Q32" s="113" t="e">
        <f t="shared" si="4"/>
        <v>#REF!</v>
      </c>
      <c r="T32" s="117"/>
    </row>
    <row r="33" spans="3:20" s="115" customFormat="1" ht="18" customHeight="1" x14ac:dyDescent="0.2">
      <c r="C33" s="112">
        <v>9</v>
      </c>
      <c r="D33" s="298" t="s">
        <v>161</v>
      </c>
      <c r="E33" s="299"/>
      <c r="F33" s="299"/>
      <c r="G33" s="300"/>
      <c r="H33" s="114" t="e">
        <f>COUNTIF(#REF!,9)+COUNTIF($V$5:$V$18,9)+COUNTIF(#REF!,9)+COUNTIF(#REF!,9)+COUNTIF(#REF!,9)</f>
        <v>#REF!</v>
      </c>
      <c r="I33" s="113" t="e">
        <f t="shared" si="3"/>
        <v>#REF!</v>
      </c>
      <c r="J33" s="116"/>
      <c r="K33" s="158"/>
      <c r="L33" s="85">
        <v>9</v>
      </c>
      <c r="M33" s="298" t="s">
        <v>162</v>
      </c>
      <c r="N33" s="299"/>
      <c r="O33" s="300"/>
      <c r="P33" s="114" t="e">
        <f>K19</f>
        <v>#REF!</v>
      </c>
      <c r="Q33" s="113" t="e">
        <f t="shared" si="4"/>
        <v>#REF!</v>
      </c>
      <c r="T33" s="117"/>
    </row>
    <row r="34" spans="3:20" s="115" customFormat="1" ht="18" customHeight="1" x14ac:dyDescent="0.2">
      <c r="C34" s="112">
        <v>10</v>
      </c>
      <c r="D34" s="298" t="s">
        <v>163</v>
      </c>
      <c r="E34" s="299"/>
      <c r="F34" s="299"/>
      <c r="G34" s="300"/>
      <c r="H34" s="114" t="e">
        <f>COUNTIF(#REF!,10)+COUNTIF($V$5:$V$18,10)+COUNTIF(#REF!,10)+COUNTIF(#REF!,10)+COUNTIF(#REF!,10)</f>
        <v>#REF!</v>
      </c>
      <c r="I34" s="113" t="e">
        <f t="shared" si="3"/>
        <v>#REF!</v>
      </c>
      <c r="J34" s="116"/>
      <c r="K34" s="158"/>
      <c r="L34" s="85">
        <v>10</v>
      </c>
      <c r="M34" s="298" t="s">
        <v>164</v>
      </c>
      <c r="N34" s="299"/>
      <c r="O34" s="300"/>
      <c r="P34" s="114" t="e">
        <f>L19</f>
        <v>#REF!</v>
      </c>
      <c r="Q34" s="113" t="e">
        <f t="shared" si="4"/>
        <v>#REF!</v>
      </c>
      <c r="T34" s="117"/>
    </row>
    <row r="35" spans="3:20" s="115" customFormat="1" ht="18" customHeight="1" x14ac:dyDescent="0.2">
      <c r="C35" s="112">
        <v>11</v>
      </c>
      <c r="D35" s="298" t="s">
        <v>165</v>
      </c>
      <c r="E35" s="299"/>
      <c r="F35" s="299"/>
      <c r="G35" s="300"/>
      <c r="H35" s="114" t="e">
        <f>COUNTIF(#REF!,11)+COUNTIF($V$5:$V$18,11)+COUNTIF(#REF!,11)+COUNTIF(#REF!,11)+COUNTIF(#REF!,11)</f>
        <v>#REF!</v>
      </c>
      <c r="I35" s="113" t="e">
        <f t="shared" si="3"/>
        <v>#REF!</v>
      </c>
      <c r="J35" s="116"/>
      <c r="K35" s="158"/>
      <c r="L35" s="85">
        <v>11</v>
      </c>
      <c r="M35" s="298" t="s">
        <v>166</v>
      </c>
      <c r="N35" s="299"/>
      <c r="O35" s="300"/>
      <c r="P35" s="114" t="e">
        <f>M19</f>
        <v>#REF!</v>
      </c>
      <c r="Q35" s="113" t="e">
        <f t="shared" si="4"/>
        <v>#REF!</v>
      </c>
      <c r="T35" s="117"/>
    </row>
    <row r="36" spans="3:20" s="115" customFormat="1" ht="18" customHeight="1" x14ac:dyDescent="0.2">
      <c r="C36" s="112">
        <v>12</v>
      </c>
      <c r="D36" s="298" t="s">
        <v>167</v>
      </c>
      <c r="E36" s="299"/>
      <c r="F36" s="299"/>
      <c r="G36" s="300"/>
      <c r="H36" s="114" t="e">
        <f>COUNTIF(#REF!,12)+COUNTIF($V$5:$V$18,12)+COUNTIF(#REF!,12)+COUNTIF(#REF!,12)+COUNTIF(#REF!,12)</f>
        <v>#REF!</v>
      </c>
      <c r="I36" s="113" t="e">
        <f t="shared" si="3"/>
        <v>#REF!</v>
      </c>
      <c r="J36" s="116"/>
      <c r="K36" s="158"/>
      <c r="L36" s="85">
        <v>12</v>
      </c>
      <c r="M36" s="298" t="s">
        <v>168</v>
      </c>
      <c r="N36" s="299"/>
      <c r="O36" s="300"/>
      <c r="P36" s="114" t="e">
        <f>N19</f>
        <v>#REF!</v>
      </c>
      <c r="Q36" s="113" t="e">
        <f t="shared" si="4"/>
        <v>#REF!</v>
      </c>
      <c r="T36" s="117"/>
    </row>
    <row r="37" spans="3:20" s="115" customFormat="1" ht="18" customHeight="1" x14ac:dyDescent="0.2">
      <c r="C37" s="112">
        <v>13</v>
      </c>
      <c r="D37" s="298" t="s">
        <v>169</v>
      </c>
      <c r="E37" s="299"/>
      <c r="F37" s="299"/>
      <c r="G37" s="300"/>
      <c r="H37" s="114" t="e">
        <f>COUNTIF(#REF!,13)+COUNTIF($V$5:$V$18,13)+COUNTIF(#REF!,13)+COUNTIF(#REF!,13)+COUNTIF(#REF!,13)</f>
        <v>#REF!</v>
      </c>
      <c r="I37" s="113" t="e">
        <f t="shared" si="3"/>
        <v>#REF!</v>
      </c>
      <c r="J37" s="116"/>
      <c r="K37" s="158"/>
      <c r="L37" s="85">
        <v>13</v>
      </c>
      <c r="M37" s="298" t="s">
        <v>170</v>
      </c>
      <c r="N37" s="299"/>
      <c r="O37" s="300"/>
      <c r="P37" s="114" t="e">
        <f>O19</f>
        <v>#REF!</v>
      </c>
      <c r="Q37" s="113" t="e">
        <f t="shared" si="4"/>
        <v>#REF!</v>
      </c>
      <c r="T37" s="117"/>
    </row>
    <row r="38" spans="3:20" s="115" customFormat="1" ht="18" customHeight="1" x14ac:dyDescent="0.2">
      <c r="C38" s="112">
        <v>14</v>
      </c>
      <c r="D38" s="298" t="s">
        <v>171</v>
      </c>
      <c r="E38" s="299"/>
      <c r="F38" s="299"/>
      <c r="G38" s="300"/>
      <c r="H38" s="114" t="e">
        <f>COUNTIF(#REF!,14)+COUNTIF($V$5:$V$18,14)+COUNTIF(#REF!,14)+COUNTIF(#REF!,14)+COUNTIF(#REF!,14)</f>
        <v>#REF!</v>
      </c>
      <c r="I38" s="113" t="e">
        <f t="shared" si="3"/>
        <v>#REF!</v>
      </c>
      <c r="J38" s="116"/>
      <c r="K38" s="158"/>
      <c r="L38" s="85">
        <v>14</v>
      </c>
      <c r="M38" s="298" t="s">
        <v>172</v>
      </c>
      <c r="N38" s="299"/>
      <c r="O38" s="300"/>
      <c r="P38" s="114" t="e">
        <f>P19</f>
        <v>#REF!</v>
      </c>
      <c r="Q38" s="113" t="e">
        <f t="shared" si="4"/>
        <v>#REF!</v>
      </c>
      <c r="T38" s="117"/>
    </row>
    <row r="39" spans="3:20" s="115" customFormat="1" ht="18" customHeight="1" x14ac:dyDescent="0.2">
      <c r="C39" s="112">
        <v>15</v>
      </c>
      <c r="D39" s="298" t="s">
        <v>173</v>
      </c>
      <c r="E39" s="299"/>
      <c r="F39" s="299"/>
      <c r="G39" s="300"/>
      <c r="H39" s="114">
        <f>COUNTIF($V$5:$V$18,15)</f>
        <v>3</v>
      </c>
      <c r="I39" s="113" t="e">
        <f t="shared" si="3"/>
        <v>#REF!</v>
      </c>
      <c r="J39" s="157">
        <f>SUM(H39:H42)</f>
        <v>10</v>
      </c>
      <c r="K39" s="158"/>
      <c r="L39" s="85">
        <v>15</v>
      </c>
      <c r="M39" s="298" t="s">
        <v>174</v>
      </c>
      <c r="N39" s="299"/>
      <c r="O39" s="300"/>
      <c r="P39" s="114" t="e">
        <f>Q19</f>
        <v>#REF!</v>
      </c>
      <c r="Q39" s="113" t="e">
        <f t="shared" si="4"/>
        <v>#REF!</v>
      </c>
      <c r="T39" s="117"/>
    </row>
    <row r="40" spans="3:20" s="115" customFormat="1" ht="18" customHeight="1" x14ac:dyDescent="0.2">
      <c r="C40" s="112">
        <v>16</v>
      </c>
      <c r="D40" s="298" t="s">
        <v>175</v>
      </c>
      <c r="E40" s="299"/>
      <c r="F40" s="299"/>
      <c r="G40" s="300"/>
      <c r="H40" s="114">
        <f>COUNTIF($V$5:$V$18,16)</f>
        <v>4</v>
      </c>
      <c r="I40" s="113" t="e">
        <f t="shared" si="3"/>
        <v>#REF!</v>
      </c>
      <c r="J40" s="116"/>
      <c r="K40" s="158"/>
      <c r="L40" s="85">
        <v>16</v>
      </c>
      <c r="M40" s="298" t="s">
        <v>176</v>
      </c>
      <c r="N40" s="299"/>
      <c r="O40" s="300"/>
      <c r="P40" s="114" t="e">
        <f>R19</f>
        <v>#REF!</v>
      </c>
      <c r="Q40" s="113" t="e">
        <f t="shared" si="4"/>
        <v>#REF!</v>
      </c>
      <c r="T40" s="117"/>
    </row>
    <row r="41" spans="3:20" s="115" customFormat="1" ht="18" customHeight="1" x14ac:dyDescent="0.2">
      <c r="C41" s="112">
        <v>17</v>
      </c>
      <c r="D41" s="298" t="s">
        <v>177</v>
      </c>
      <c r="E41" s="299"/>
      <c r="F41" s="299"/>
      <c r="G41" s="300"/>
      <c r="H41" s="114">
        <f>COUNTIF($V$5:$V$18,17)</f>
        <v>2</v>
      </c>
      <c r="I41" s="113" t="e">
        <f t="shared" si="3"/>
        <v>#REF!</v>
      </c>
      <c r="J41" s="157"/>
      <c r="K41" s="158"/>
      <c r="L41" s="85">
        <v>17</v>
      </c>
      <c r="M41" s="298" t="s">
        <v>178</v>
      </c>
      <c r="N41" s="299"/>
      <c r="O41" s="300"/>
      <c r="P41" s="114" t="e">
        <f>S19</f>
        <v>#REF!</v>
      </c>
      <c r="Q41" s="113" t="e">
        <f t="shared" si="4"/>
        <v>#REF!</v>
      </c>
      <c r="T41" s="117"/>
    </row>
    <row r="42" spans="3:20" s="115" customFormat="1" ht="18" customHeight="1" x14ac:dyDescent="0.2">
      <c r="C42" s="112">
        <v>18</v>
      </c>
      <c r="D42" s="298" t="s">
        <v>179</v>
      </c>
      <c r="E42" s="299"/>
      <c r="F42" s="299"/>
      <c r="G42" s="300"/>
      <c r="H42" s="114">
        <f>COUNTIF($V$5:$V$18,18)</f>
        <v>1</v>
      </c>
      <c r="I42" s="113" t="e">
        <f t="shared" si="3"/>
        <v>#REF!</v>
      </c>
      <c r="J42" s="116"/>
      <c r="K42" s="158"/>
      <c r="L42" s="85">
        <v>18</v>
      </c>
      <c r="M42" s="298" t="s">
        <v>180</v>
      </c>
      <c r="N42" s="299"/>
      <c r="O42" s="300"/>
      <c r="P42" s="85" t="e">
        <f>T19</f>
        <v>#REF!</v>
      </c>
      <c r="Q42" s="113" t="e">
        <f t="shared" si="4"/>
        <v>#REF!</v>
      </c>
      <c r="T42" s="117"/>
    </row>
    <row r="43" spans="3:20" s="115" customFormat="1" ht="18" customHeight="1" x14ac:dyDescent="0.2">
      <c r="C43" s="112">
        <v>19</v>
      </c>
      <c r="D43" s="298" t="s">
        <v>181</v>
      </c>
      <c r="E43" s="299"/>
      <c r="F43" s="299"/>
      <c r="G43" s="300"/>
      <c r="H43" s="114" t="e">
        <f>COUNTIF(#REF!,19)+COUNTIF($V$5:$V$18,19)+COUNTIF(#REF!,19)+COUNTIF(#REF!,19)+COUNTIF(#REF!,19)</f>
        <v>#REF!</v>
      </c>
      <c r="I43" s="113" t="e">
        <f t="shared" si="3"/>
        <v>#REF!</v>
      </c>
      <c r="J43" s="116"/>
      <c r="K43" s="158"/>
      <c r="L43" s="85">
        <v>19</v>
      </c>
      <c r="M43" s="298" t="s">
        <v>182</v>
      </c>
      <c r="N43" s="299"/>
      <c r="O43" s="300"/>
      <c r="P43" s="85" t="e">
        <f>U19</f>
        <v>#REF!</v>
      </c>
      <c r="Q43" s="113" t="e">
        <f t="shared" si="4"/>
        <v>#REF!</v>
      </c>
      <c r="T43" s="117"/>
    </row>
    <row r="44" spans="3:20" s="115" customFormat="1" ht="18" customHeight="1" x14ac:dyDescent="0.2">
      <c r="C44" s="301" t="s">
        <v>98</v>
      </c>
      <c r="D44" s="302"/>
      <c r="E44" s="302"/>
      <c r="F44" s="302"/>
      <c r="G44" s="303"/>
      <c r="H44" s="119" t="e">
        <f>SUM(H25:H43)</f>
        <v>#REF!</v>
      </c>
      <c r="I44" s="120">
        <v>100</v>
      </c>
      <c r="J44" s="116"/>
      <c r="L44" s="121"/>
      <c r="M44" s="122"/>
      <c r="N44" s="122"/>
      <c r="O44" s="121"/>
      <c r="P44" s="123"/>
      <c r="Q44" s="124"/>
      <c r="T44" s="117"/>
    </row>
    <row r="45" spans="3:20" x14ac:dyDescent="0.2">
      <c r="L45" s="125"/>
    </row>
    <row r="46" spans="3:20" x14ac:dyDescent="0.2">
      <c r="L46" s="125"/>
      <c r="M46" s="127"/>
    </row>
    <row r="47" spans="3:20" x14ac:dyDescent="0.2">
      <c r="L47" s="125"/>
      <c r="M47" s="127"/>
    </row>
    <row r="48" spans="3:20" x14ac:dyDescent="0.2">
      <c r="K48" s="147"/>
      <c r="L48" s="128"/>
      <c r="M48" s="129"/>
      <c r="N48" s="130"/>
      <c r="O48" s="99"/>
      <c r="P48" s="99"/>
      <c r="Q48" s="99"/>
    </row>
    <row r="49" spans="10:17" s="99" customFormat="1" x14ac:dyDescent="0.2">
      <c r="J49" s="104"/>
      <c r="K49" s="147"/>
      <c r="L49" s="128"/>
      <c r="M49" s="129"/>
      <c r="N49" s="130"/>
    </row>
    <row r="50" spans="10:17" s="99" customFormat="1" x14ac:dyDescent="0.2">
      <c r="J50" s="104"/>
      <c r="K50" s="147"/>
      <c r="L50" s="125"/>
      <c r="M50" s="127"/>
      <c r="N50" s="126"/>
      <c r="O50" s="48"/>
      <c r="P50" s="48"/>
      <c r="Q50" s="48"/>
    </row>
    <row r="51" spans="10:17" x14ac:dyDescent="0.2">
      <c r="L51" s="125"/>
      <c r="M51" s="127"/>
    </row>
    <row r="52" spans="10:17" x14ac:dyDescent="0.2">
      <c r="L52" s="125"/>
      <c r="M52" s="127"/>
    </row>
    <row r="53" spans="10:17" x14ac:dyDescent="0.2">
      <c r="L53" s="125"/>
    </row>
    <row r="54" spans="10:17" x14ac:dyDescent="0.2">
      <c r="L54" s="128"/>
      <c r="M54" s="130"/>
      <c r="N54" s="130"/>
      <c r="O54" s="99"/>
      <c r="P54" s="99"/>
      <c r="Q54" s="99"/>
    </row>
    <row r="55" spans="10:17" s="99" customFormat="1" x14ac:dyDescent="0.2">
      <c r="J55" s="104"/>
      <c r="L55" s="128"/>
      <c r="M55" s="130"/>
      <c r="N55" s="130"/>
    </row>
    <row r="56" spans="10:17" s="99" customFormat="1" x14ac:dyDescent="0.2">
      <c r="J56" s="104"/>
      <c r="L56" s="125"/>
      <c r="M56" s="126"/>
      <c r="N56" s="126"/>
      <c r="O56" s="48"/>
      <c r="P56" s="48"/>
      <c r="Q56" s="48"/>
    </row>
    <row r="57" spans="10:17" x14ac:dyDescent="0.2">
      <c r="L57" s="125"/>
    </row>
  </sheetData>
  <mergeCells count="51">
    <mergeCell ref="A1:V1"/>
    <mergeCell ref="A4:B4"/>
    <mergeCell ref="A19:B19"/>
    <mergeCell ref="A20:B20"/>
    <mergeCell ref="A21:V21"/>
    <mergeCell ref="C23:C24"/>
    <mergeCell ref="D23:G24"/>
    <mergeCell ref="H23:I23"/>
    <mergeCell ref="K23:K24"/>
    <mergeCell ref="L23:L24"/>
    <mergeCell ref="M23:O24"/>
    <mergeCell ref="P23:Q23"/>
    <mergeCell ref="D25:G25"/>
    <mergeCell ref="M25:O25"/>
    <mergeCell ref="D26:G26"/>
    <mergeCell ref="M26:O26"/>
    <mergeCell ref="D27:G27"/>
    <mergeCell ref="M27:O27"/>
    <mergeCell ref="D28:G28"/>
    <mergeCell ref="M28:O28"/>
    <mergeCell ref="D29:G29"/>
    <mergeCell ref="M29:O29"/>
    <mergeCell ref="D30:G30"/>
    <mergeCell ref="M30:O30"/>
    <mergeCell ref="D31:G31"/>
    <mergeCell ref="M31:O31"/>
    <mergeCell ref="D32:G32"/>
    <mergeCell ref="M32:O32"/>
    <mergeCell ref="D33:G33"/>
    <mergeCell ref="M33:O33"/>
    <mergeCell ref="D34:G34"/>
    <mergeCell ref="M34:O34"/>
    <mergeCell ref="D35:G35"/>
    <mergeCell ref="M35:O35"/>
    <mergeCell ref="D36:G36"/>
    <mergeCell ref="M36:O36"/>
    <mergeCell ref="D37:G37"/>
    <mergeCell ref="M37:O37"/>
    <mergeCell ref="D38:G38"/>
    <mergeCell ref="M38:O38"/>
    <mergeCell ref="D39:G39"/>
    <mergeCell ref="M39:O39"/>
    <mergeCell ref="D43:G43"/>
    <mergeCell ref="M43:O43"/>
    <mergeCell ref="C44:G44"/>
    <mergeCell ref="D40:G40"/>
    <mergeCell ref="M40:O40"/>
    <mergeCell ref="D41:G41"/>
    <mergeCell ref="M41:O41"/>
    <mergeCell ref="D42:G42"/>
    <mergeCell ref="M42:O42"/>
  </mergeCells>
  <printOptions horizontalCentered="1"/>
  <pageMargins left="0.15748031496062992" right="0.15748031496062992" top="0.64" bottom="0.47" header="0.15748031496062992" footer="0.15748031496062992"/>
  <pageSetup paperSize="9" scale="81"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9"/>
  <sheetViews>
    <sheetView zoomScaleNormal="100" workbookViewId="0">
      <pane xSplit="2" ySplit="3" topLeftCell="C32" activePane="bottomRight" state="frozen"/>
      <selection pane="topRight" activeCell="C1" sqref="C1"/>
      <selection pane="bottomLeft" activeCell="A5" sqref="A5"/>
      <selection pane="bottomRight" activeCell="H35" sqref="H35"/>
    </sheetView>
  </sheetViews>
  <sheetFormatPr defaultRowHeight="12.75" x14ac:dyDescent="0.2"/>
  <cols>
    <col min="1" max="1" width="3.5703125" style="48" bestFit="1" customWidth="1"/>
    <col min="2" max="2" width="21.140625" style="48" customWidth="1"/>
    <col min="3" max="3" width="8.5703125" style="48" customWidth="1"/>
    <col min="4" max="4" width="7.85546875" style="48" customWidth="1"/>
    <col min="5" max="5" width="7.140625" style="48" customWidth="1"/>
    <col min="6" max="6" width="8.85546875" style="48" bestFit="1" customWidth="1"/>
    <col min="7" max="7" width="7.42578125" style="48" customWidth="1"/>
    <col min="8" max="8" width="8.5703125" style="48" customWidth="1"/>
    <col min="9" max="9" width="8.28515625" style="48" customWidth="1"/>
    <col min="10" max="10" width="7.85546875" style="102" customWidth="1"/>
    <col min="11" max="11" width="7.7109375" style="48" bestFit="1" customWidth="1"/>
    <col min="12" max="12" width="9" style="48" customWidth="1"/>
    <col min="13" max="13" width="7.7109375" style="126" bestFit="1" customWidth="1"/>
    <col min="14" max="14" width="8.42578125" style="126" customWidth="1"/>
    <col min="15" max="16" width="7.5703125" style="48" customWidth="1"/>
    <col min="17" max="17" width="9" style="48" customWidth="1"/>
    <col min="18" max="18" width="7.7109375" style="48" bestFit="1" customWidth="1"/>
    <col min="19" max="19" width="8.140625" style="48" customWidth="1"/>
    <col min="20" max="21" width="7.7109375" style="48" customWidth="1"/>
    <col min="22" max="22" width="7.140625" style="48" customWidth="1"/>
    <col min="23" max="23" width="9.140625" style="48"/>
    <col min="24" max="24" width="9.85546875" style="48" bestFit="1" customWidth="1"/>
    <col min="25" max="16384" width="9.140625" style="48"/>
  </cols>
  <sheetData>
    <row r="1" spans="1:24" ht="35.25" customHeight="1" x14ac:dyDescent="0.2">
      <c r="A1" s="308" t="s">
        <v>140</v>
      </c>
      <c r="B1" s="308"/>
      <c r="C1" s="308"/>
      <c r="D1" s="308"/>
      <c r="E1" s="308"/>
      <c r="F1" s="308"/>
      <c r="G1" s="308"/>
      <c r="H1" s="308"/>
      <c r="I1" s="308"/>
      <c r="J1" s="308"/>
      <c r="K1" s="308"/>
      <c r="L1" s="308"/>
      <c r="M1" s="308"/>
      <c r="N1" s="308"/>
      <c r="O1" s="308"/>
      <c r="P1" s="308"/>
      <c r="Q1" s="308"/>
      <c r="R1" s="308"/>
      <c r="S1" s="308"/>
      <c r="T1" s="308"/>
      <c r="U1" s="308"/>
      <c r="V1" s="308"/>
    </row>
    <row r="2" spans="1:24" s="94" customFormat="1" ht="83.25" customHeight="1" x14ac:dyDescent="0.2">
      <c r="A2" s="91" t="s">
        <v>76</v>
      </c>
      <c r="B2" s="131" t="s">
        <v>137</v>
      </c>
      <c r="C2" s="4" t="s">
        <v>0</v>
      </c>
      <c r="D2" s="4" t="s">
        <v>1</v>
      </c>
      <c r="E2" s="4" t="s">
        <v>2</v>
      </c>
      <c r="F2" s="91" t="s">
        <v>3</v>
      </c>
      <c r="G2" s="4" t="s">
        <v>4</v>
      </c>
      <c r="H2" s="4" t="s">
        <v>5</v>
      </c>
      <c r="I2" s="4" t="s">
        <v>101</v>
      </c>
      <c r="J2" s="92" t="s">
        <v>100</v>
      </c>
      <c r="K2" s="4" t="s">
        <v>6</v>
      </c>
      <c r="L2" s="4" t="s">
        <v>183</v>
      </c>
      <c r="M2" s="4" t="s">
        <v>8</v>
      </c>
      <c r="N2" s="4" t="s">
        <v>102</v>
      </c>
      <c r="O2" s="4" t="s">
        <v>141</v>
      </c>
      <c r="P2" s="4" t="s">
        <v>104</v>
      </c>
      <c r="Q2" s="93" t="s">
        <v>139</v>
      </c>
      <c r="R2" s="4" t="s">
        <v>10</v>
      </c>
      <c r="S2" s="4" t="s">
        <v>105</v>
      </c>
      <c r="T2" s="4" t="s">
        <v>106</v>
      </c>
      <c r="U2" s="4" t="s">
        <v>107</v>
      </c>
      <c r="V2" s="4" t="s">
        <v>138</v>
      </c>
    </row>
    <row r="3" spans="1:24" s="97" customFormat="1" ht="8.25" customHeight="1" x14ac:dyDescent="0.2">
      <c r="A3" s="95"/>
      <c r="B3" s="96"/>
      <c r="C3" s="139">
        <v>1</v>
      </c>
      <c r="D3" s="139">
        <v>2</v>
      </c>
      <c r="E3" s="139">
        <v>3</v>
      </c>
      <c r="F3" s="139">
        <v>4</v>
      </c>
      <c r="G3" s="139">
        <v>5</v>
      </c>
      <c r="H3" s="139">
        <v>6</v>
      </c>
      <c r="I3" s="139">
        <v>7</v>
      </c>
      <c r="J3" s="140">
        <v>8</v>
      </c>
      <c r="K3" s="139">
        <v>9</v>
      </c>
      <c r="L3" s="139">
        <v>10</v>
      </c>
      <c r="M3" s="140">
        <v>11</v>
      </c>
      <c r="N3" s="140">
        <v>12</v>
      </c>
      <c r="O3" s="139">
        <v>13</v>
      </c>
      <c r="P3" s="139">
        <v>14</v>
      </c>
      <c r="Q3" s="139">
        <v>15</v>
      </c>
      <c r="R3" s="139">
        <v>16</v>
      </c>
      <c r="S3" s="139">
        <v>17</v>
      </c>
      <c r="T3" s="139">
        <v>18</v>
      </c>
      <c r="U3" s="139">
        <v>19</v>
      </c>
      <c r="V3" s="139">
        <v>20</v>
      </c>
    </row>
    <row r="4" spans="1:24" s="104" customFormat="1" ht="18.75" customHeight="1" x14ac:dyDescent="0.2">
      <c r="A4" s="318" t="s">
        <v>60</v>
      </c>
      <c r="B4" s="312"/>
      <c r="C4" s="160">
        <f t="shared" ref="C4:U4" si="0">COUNTIF(C5:C10,"X")</f>
        <v>6</v>
      </c>
      <c r="D4" s="160">
        <f t="shared" si="0"/>
        <v>0</v>
      </c>
      <c r="E4" s="160">
        <f t="shared" si="0"/>
        <v>6</v>
      </c>
      <c r="F4" s="160">
        <f t="shared" si="0"/>
        <v>6</v>
      </c>
      <c r="G4" s="160">
        <f t="shared" si="0"/>
        <v>0</v>
      </c>
      <c r="H4" s="160">
        <f t="shared" si="0"/>
        <v>6</v>
      </c>
      <c r="I4" s="160">
        <f t="shared" si="0"/>
        <v>6</v>
      </c>
      <c r="J4" s="160">
        <f t="shared" si="0"/>
        <v>6</v>
      </c>
      <c r="K4" s="160">
        <f t="shared" si="0"/>
        <v>6</v>
      </c>
      <c r="L4" s="160">
        <f t="shared" si="0"/>
        <v>4</v>
      </c>
      <c r="M4" s="160">
        <f t="shared" si="0"/>
        <v>6</v>
      </c>
      <c r="N4" s="160">
        <f t="shared" si="0"/>
        <v>6</v>
      </c>
      <c r="O4" s="160">
        <f t="shared" si="0"/>
        <v>1</v>
      </c>
      <c r="P4" s="160">
        <f t="shared" si="0"/>
        <v>0</v>
      </c>
      <c r="Q4" s="160">
        <f t="shared" si="0"/>
        <v>6</v>
      </c>
      <c r="R4" s="160">
        <f t="shared" si="0"/>
        <v>5</v>
      </c>
      <c r="S4" s="160">
        <f t="shared" si="0"/>
        <v>0</v>
      </c>
      <c r="T4" s="160">
        <f t="shared" si="0"/>
        <v>6</v>
      </c>
      <c r="U4" s="98">
        <f t="shared" si="0"/>
        <v>6</v>
      </c>
      <c r="V4" s="103">
        <f>AVERAGE(V5:V10)</f>
        <v>13.666666666666666</v>
      </c>
    </row>
    <row r="5" spans="1:24" s="102" customFormat="1" ht="12.95" customHeight="1" x14ac:dyDescent="0.2">
      <c r="A5" s="98">
        <v>1</v>
      </c>
      <c r="B5" s="100" t="s">
        <v>64</v>
      </c>
      <c r="C5" s="159" t="s">
        <v>99</v>
      </c>
      <c r="D5" s="159"/>
      <c r="E5" s="159" t="s">
        <v>99</v>
      </c>
      <c r="F5" s="159" t="s">
        <v>99</v>
      </c>
      <c r="G5" s="159"/>
      <c r="H5" s="159" t="s">
        <v>99</v>
      </c>
      <c r="I5" s="159" t="s">
        <v>99</v>
      </c>
      <c r="J5" s="159" t="s">
        <v>99</v>
      </c>
      <c r="K5" s="159" t="s">
        <v>99</v>
      </c>
      <c r="L5" s="159"/>
      <c r="M5" s="159" t="s">
        <v>99</v>
      </c>
      <c r="N5" s="159" t="s">
        <v>99</v>
      </c>
      <c r="O5" s="159" t="s">
        <v>99</v>
      </c>
      <c r="P5" s="159"/>
      <c r="Q5" s="159" t="s">
        <v>99</v>
      </c>
      <c r="R5" s="159" t="s">
        <v>99</v>
      </c>
      <c r="S5" s="159"/>
      <c r="T5" s="159" t="s">
        <v>99</v>
      </c>
      <c r="U5" s="101" t="s">
        <v>99</v>
      </c>
      <c r="V5" s="98">
        <f t="shared" ref="V5:V10" si="1">COUNTIF(C5:U5,"X")</f>
        <v>14</v>
      </c>
    </row>
    <row r="6" spans="1:24" s="102" customFormat="1" ht="12.95" customHeight="1" x14ac:dyDescent="0.2">
      <c r="A6" s="98">
        <v>2</v>
      </c>
      <c r="B6" s="100" t="s">
        <v>62</v>
      </c>
      <c r="C6" s="159" t="s">
        <v>99</v>
      </c>
      <c r="D6" s="159"/>
      <c r="E6" s="159" t="s">
        <v>99</v>
      </c>
      <c r="F6" s="159" t="s">
        <v>99</v>
      </c>
      <c r="G6" s="159"/>
      <c r="H6" s="159" t="s">
        <v>99</v>
      </c>
      <c r="I6" s="159" t="s">
        <v>99</v>
      </c>
      <c r="J6" s="159" t="s">
        <v>99</v>
      </c>
      <c r="K6" s="159" t="s">
        <v>99</v>
      </c>
      <c r="L6" s="159"/>
      <c r="M6" s="159" t="s">
        <v>99</v>
      </c>
      <c r="N6" s="159" t="s">
        <v>99</v>
      </c>
      <c r="O6" s="159"/>
      <c r="P6" s="159"/>
      <c r="Q6" s="159" t="s">
        <v>99</v>
      </c>
      <c r="R6" s="159" t="s">
        <v>99</v>
      </c>
      <c r="S6" s="159"/>
      <c r="T6" s="159" t="s">
        <v>99</v>
      </c>
      <c r="U6" s="101" t="s">
        <v>99</v>
      </c>
      <c r="V6" s="98">
        <f t="shared" si="1"/>
        <v>13</v>
      </c>
      <c r="W6" s="146"/>
    </row>
    <row r="7" spans="1:24" s="102" customFormat="1" ht="12.95" customHeight="1" x14ac:dyDescent="0.2">
      <c r="A7" s="98">
        <v>3</v>
      </c>
      <c r="B7" s="100" t="s">
        <v>61</v>
      </c>
      <c r="C7" s="159" t="s">
        <v>99</v>
      </c>
      <c r="D7" s="159"/>
      <c r="E7" s="159" t="s">
        <v>99</v>
      </c>
      <c r="F7" s="159" t="s">
        <v>99</v>
      </c>
      <c r="G7" s="159"/>
      <c r="H7" s="159" t="s">
        <v>99</v>
      </c>
      <c r="I7" s="159" t="s">
        <v>99</v>
      </c>
      <c r="J7" s="159" t="s">
        <v>99</v>
      </c>
      <c r="K7" s="159" t="s">
        <v>99</v>
      </c>
      <c r="L7" s="159" t="s">
        <v>99</v>
      </c>
      <c r="M7" s="159" t="s">
        <v>99</v>
      </c>
      <c r="N7" s="159" t="s">
        <v>99</v>
      </c>
      <c r="O7" s="159"/>
      <c r="P7" s="159"/>
      <c r="Q7" s="159" t="s">
        <v>99</v>
      </c>
      <c r="R7" s="159" t="s">
        <v>99</v>
      </c>
      <c r="S7" s="159"/>
      <c r="T7" s="159" t="s">
        <v>99</v>
      </c>
      <c r="U7" s="101" t="s">
        <v>99</v>
      </c>
      <c r="V7" s="98">
        <f t="shared" si="1"/>
        <v>14</v>
      </c>
    </row>
    <row r="8" spans="1:24" s="102" customFormat="1" ht="12.95" customHeight="1" x14ac:dyDescent="0.2">
      <c r="A8" s="98">
        <v>4</v>
      </c>
      <c r="B8" s="100" t="s">
        <v>65</v>
      </c>
      <c r="C8" s="159" t="s">
        <v>99</v>
      </c>
      <c r="D8" s="159"/>
      <c r="E8" s="159" t="s">
        <v>99</v>
      </c>
      <c r="F8" s="159" t="s">
        <v>99</v>
      </c>
      <c r="G8" s="159"/>
      <c r="H8" s="159" t="s">
        <v>99</v>
      </c>
      <c r="I8" s="159" t="s">
        <v>99</v>
      </c>
      <c r="J8" s="159" t="s">
        <v>99</v>
      </c>
      <c r="K8" s="159" t="s">
        <v>99</v>
      </c>
      <c r="L8" s="159" t="s">
        <v>99</v>
      </c>
      <c r="M8" s="159" t="s">
        <v>99</v>
      </c>
      <c r="N8" s="159" t="s">
        <v>99</v>
      </c>
      <c r="O8" s="159"/>
      <c r="P8" s="159"/>
      <c r="Q8" s="159" t="s">
        <v>99</v>
      </c>
      <c r="R8" s="159" t="s">
        <v>99</v>
      </c>
      <c r="S8" s="159"/>
      <c r="T8" s="159" t="s">
        <v>99</v>
      </c>
      <c r="U8" s="101" t="s">
        <v>99</v>
      </c>
      <c r="V8" s="98">
        <f t="shared" si="1"/>
        <v>14</v>
      </c>
    </row>
    <row r="9" spans="1:24" s="102" customFormat="1" ht="12.95" customHeight="1" x14ac:dyDescent="0.2">
      <c r="A9" s="98">
        <v>5</v>
      </c>
      <c r="B9" s="100" t="s">
        <v>66</v>
      </c>
      <c r="C9" s="159" t="s">
        <v>99</v>
      </c>
      <c r="D9" s="159"/>
      <c r="E9" s="159" t="s">
        <v>99</v>
      </c>
      <c r="F9" s="159" t="s">
        <v>99</v>
      </c>
      <c r="G9" s="159"/>
      <c r="H9" s="159" t="s">
        <v>99</v>
      </c>
      <c r="I9" s="159" t="s">
        <v>99</v>
      </c>
      <c r="J9" s="159" t="s">
        <v>99</v>
      </c>
      <c r="K9" s="159" t="s">
        <v>99</v>
      </c>
      <c r="L9" s="159" t="s">
        <v>99</v>
      </c>
      <c r="M9" s="159" t="s">
        <v>99</v>
      </c>
      <c r="N9" s="159" t="s">
        <v>99</v>
      </c>
      <c r="O9" s="159"/>
      <c r="P9" s="159"/>
      <c r="Q9" s="159" t="s">
        <v>99</v>
      </c>
      <c r="R9" s="159"/>
      <c r="S9" s="159"/>
      <c r="T9" s="159" t="s">
        <v>99</v>
      </c>
      <c r="U9" s="101" t="s">
        <v>99</v>
      </c>
      <c r="V9" s="98">
        <f t="shared" si="1"/>
        <v>13</v>
      </c>
    </row>
    <row r="10" spans="1:24" s="102" customFormat="1" ht="12.95" customHeight="1" x14ac:dyDescent="0.2">
      <c r="A10" s="98">
        <v>6</v>
      </c>
      <c r="B10" s="100" t="s">
        <v>63</v>
      </c>
      <c r="C10" s="159" t="s">
        <v>99</v>
      </c>
      <c r="D10" s="159"/>
      <c r="E10" s="159" t="s">
        <v>99</v>
      </c>
      <c r="F10" s="159" t="s">
        <v>99</v>
      </c>
      <c r="G10" s="159"/>
      <c r="H10" s="159" t="s">
        <v>99</v>
      </c>
      <c r="I10" s="159" t="s">
        <v>99</v>
      </c>
      <c r="J10" s="159" t="s">
        <v>99</v>
      </c>
      <c r="K10" s="159" t="s">
        <v>99</v>
      </c>
      <c r="L10" s="159" t="s">
        <v>99</v>
      </c>
      <c r="M10" s="159" t="s">
        <v>99</v>
      </c>
      <c r="N10" s="159" t="s">
        <v>99</v>
      </c>
      <c r="O10" s="159"/>
      <c r="P10" s="159"/>
      <c r="Q10" s="159" t="s">
        <v>99</v>
      </c>
      <c r="R10" s="159" t="s">
        <v>99</v>
      </c>
      <c r="S10" s="159"/>
      <c r="T10" s="159" t="s">
        <v>99</v>
      </c>
      <c r="U10" s="101" t="s">
        <v>99</v>
      </c>
      <c r="V10" s="98">
        <f t="shared" si="1"/>
        <v>14</v>
      </c>
    </row>
    <row r="11" spans="1:24" s="106" customFormat="1" ht="30.75" customHeight="1" x14ac:dyDescent="0.3">
      <c r="A11" s="311" t="s">
        <v>142</v>
      </c>
      <c r="B11" s="312"/>
      <c r="C11" s="160" t="e">
        <f>#REF!+#REF!+#REF!+C4+#REF!</f>
        <v>#REF!</v>
      </c>
      <c r="D11" s="160" t="e">
        <f>#REF!+#REF!+#REF!+D4+#REF!</f>
        <v>#REF!</v>
      </c>
      <c r="E11" s="160" t="e">
        <f>#REF!+#REF!+#REF!+E4+#REF!</f>
        <v>#REF!</v>
      </c>
      <c r="F11" s="160" t="e">
        <f>#REF!+#REF!+#REF!+F4+#REF!</f>
        <v>#REF!</v>
      </c>
      <c r="G11" s="160" t="e">
        <f>#REF!+#REF!+#REF!+G4+#REF!</f>
        <v>#REF!</v>
      </c>
      <c r="H11" s="160" t="e">
        <f>#REF!+#REF!+#REF!+H4+#REF!</f>
        <v>#REF!</v>
      </c>
      <c r="I11" s="160" t="e">
        <f>#REF!+#REF!+#REF!+I4+#REF!</f>
        <v>#REF!</v>
      </c>
      <c r="J11" s="160" t="e">
        <f>#REF!+#REF!+#REF!+J4+#REF!</f>
        <v>#REF!</v>
      </c>
      <c r="K11" s="160" t="e">
        <f>#REF!+#REF!+#REF!+K4+#REF!</f>
        <v>#REF!</v>
      </c>
      <c r="L11" s="160" t="e">
        <f>#REF!+#REF!+#REF!+L4+#REF!</f>
        <v>#REF!</v>
      </c>
      <c r="M11" s="160" t="e">
        <f>#REF!+#REF!+#REF!+M4+#REF!</f>
        <v>#REF!</v>
      </c>
      <c r="N11" s="160" t="e">
        <f>#REF!+#REF!+#REF!+N4+#REF!</f>
        <v>#REF!</v>
      </c>
      <c r="O11" s="160" t="e">
        <f>#REF!+#REF!+#REF!+O4+#REF!</f>
        <v>#REF!</v>
      </c>
      <c r="P11" s="160" t="e">
        <f>#REF!+#REF!+#REF!+P4+#REF!</f>
        <v>#REF!</v>
      </c>
      <c r="Q11" s="160" t="e">
        <f>#REF!+#REF!+#REF!+Q4+#REF!</f>
        <v>#REF!</v>
      </c>
      <c r="R11" s="160" t="e">
        <f>#REF!+#REF!+#REF!+R4+#REF!</f>
        <v>#REF!</v>
      </c>
      <c r="S11" s="160" t="e">
        <f>#REF!+#REF!+#REF!+S4+#REF!</f>
        <v>#REF!</v>
      </c>
      <c r="T11" s="160" t="e">
        <f>#REF!+#REF!+#REF!+T4+#REF!</f>
        <v>#REF!</v>
      </c>
      <c r="U11" s="98" t="e">
        <f>#REF!+#REF!+#REF!+U4+#REF!</f>
        <v>#REF!</v>
      </c>
      <c r="V11" s="155" t="e">
        <f>(SUM(#REF!)+SUM(V5:V10)+SUM(#REF!)+SUM(#REF!)+SUM(#REF!))/56</f>
        <v>#REF!</v>
      </c>
      <c r="W11" s="105"/>
      <c r="X11" s="137"/>
    </row>
    <row r="12" spans="1:24" s="107" customFormat="1" ht="21" customHeight="1" x14ac:dyDescent="0.2">
      <c r="A12" s="313" t="s">
        <v>143</v>
      </c>
      <c r="B12" s="314"/>
      <c r="C12" s="144" t="e">
        <f t="shared" ref="C12:U12" si="2">100*C11/56</f>
        <v>#REF!</v>
      </c>
      <c r="D12" s="145" t="e">
        <f t="shared" si="2"/>
        <v>#REF!</v>
      </c>
      <c r="E12" s="145" t="e">
        <f t="shared" si="2"/>
        <v>#REF!</v>
      </c>
      <c r="F12" s="144" t="e">
        <f t="shared" si="2"/>
        <v>#REF!</v>
      </c>
      <c r="G12" s="145" t="e">
        <f t="shared" si="2"/>
        <v>#REF!</v>
      </c>
      <c r="H12" s="145" t="e">
        <f t="shared" si="2"/>
        <v>#REF!</v>
      </c>
      <c r="I12" s="144" t="e">
        <f t="shared" si="2"/>
        <v>#REF!</v>
      </c>
      <c r="J12" s="144" t="e">
        <f t="shared" si="2"/>
        <v>#REF!</v>
      </c>
      <c r="K12" s="145" t="e">
        <f t="shared" si="2"/>
        <v>#REF!</v>
      </c>
      <c r="L12" s="145" t="e">
        <f t="shared" si="2"/>
        <v>#REF!</v>
      </c>
      <c r="M12" s="144" t="e">
        <f t="shared" si="2"/>
        <v>#REF!</v>
      </c>
      <c r="N12" s="144" t="e">
        <f t="shared" si="2"/>
        <v>#REF!</v>
      </c>
      <c r="O12" s="145" t="e">
        <f t="shared" si="2"/>
        <v>#REF!</v>
      </c>
      <c r="P12" s="145" t="e">
        <f t="shared" si="2"/>
        <v>#REF!</v>
      </c>
      <c r="Q12" s="145" t="e">
        <f>100*Q11/56</f>
        <v>#REF!</v>
      </c>
      <c r="R12" s="144" t="e">
        <f t="shared" si="2"/>
        <v>#REF!</v>
      </c>
      <c r="S12" s="145" t="e">
        <f t="shared" si="2"/>
        <v>#REF!</v>
      </c>
      <c r="T12" s="145" t="e">
        <f t="shared" si="2"/>
        <v>#REF!</v>
      </c>
      <c r="U12" s="143" t="e">
        <f t="shared" si="2"/>
        <v>#REF!</v>
      </c>
      <c r="V12" s="142"/>
    </row>
    <row r="13" spans="1:24" s="107" customFormat="1" ht="16.5" customHeight="1" x14ac:dyDescent="0.2">
      <c r="A13" s="315" t="s">
        <v>184</v>
      </c>
      <c r="B13" s="316"/>
      <c r="C13" s="316"/>
      <c r="D13" s="316"/>
      <c r="E13" s="316"/>
      <c r="F13" s="316"/>
      <c r="G13" s="316"/>
      <c r="H13" s="316"/>
      <c r="I13" s="316"/>
      <c r="J13" s="316"/>
      <c r="K13" s="316"/>
      <c r="L13" s="316"/>
      <c r="M13" s="316"/>
      <c r="N13" s="316"/>
      <c r="O13" s="316"/>
      <c r="P13" s="316"/>
      <c r="Q13" s="316"/>
      <c r="R13" s="316"/>
      <c r="S13" s="316"/>
      <c r="T13" s="316"/>
      <c r="U13" s="316"/>
      <c r="V13" s="317"/>
    </row>
    <row r="14" spans="1:24" ht="18.75" x14ac:dyDescent="0.3">
      <c r="K14" s="108"/>
      <c r="L14" s="108"/>
      <c r="M14" s="109"/>
      <c r="N14" s="109"/>
      <c r="O14" s="108"/>
      <c r="P14" s="108"/>
      <c r="Q14" s="108"/>
      <c r="R14" s="108"/>
      <c r="S14" s="108"/>
      <c r="T14" s="108"/>
      <c r="U14" s="108"/>
      <c r="V14" s="110"/>
    </row>
    <row r="15" spans="1:24" ht="31.5" customHeight="1" x14ac:dyDescent="0.2">
      <c r="C15" s="304" t="s">
        <v>76</v>
      </c>
      <c r="D15" s="304" t="s">
        <v>77</v>
      </c>
      <c r="E15" s="304"/>
      <c r="F15" s="304"/>
      <c r="G15" s="304"/>
      <c r="H15" s="305" t="s">
        <v>185</v>
      </c>
      <c r="I15" s="306"/>
      <c r="K15" s="307"/>
      <c r="L15" s="304" t="s">
        <v>76</v>
      </c>
      <c r="M15" s="304" t="s">
        <v>77</v>
      </c>
      <c r="N15" s="304"/>
      <c r="O15" s="304"/>
      <c r="P15" s="305" t="s">
        <v>185</v>
      </c>
      <c r="Q15" s="306"/>
    </row>
    <row r="16" spans="1:24" ht="28.5" customHeight="1" x14ac:dyDescent="0.2">
      <c r="C16" s="304"/>
      <c r="D16" s="304"/>
      <c r="E16" s="304"/>
      <c r="F16" s="304"/>
      <c r="G16" s="304"/>
      <c r="H16" s="111" t="s">
        <v>144</v>
      </c>
      <c r="I16" s="111" t="s">
        <v>80</v>
      </c>
      <c r="K16" s="307"/>
      <c r="L16" s="304"/>
      <c r="M16" s="304"/>
      <c r="N16" s="304"/>
      <c r="O16" s="304"/>
      <c r="P16" s="111" t="s">
        <v>144</v>
      </c>
      <c r="Q16" s="111" t="s">
        <v>80</v>
      </c>
    </row>
    <row r="17" spans="3:20" ht="15.75" x14ac:dyDescent="0.2">
      <c r="C17" s="112">
        <v>1</v>
      </c>
      <c r="D17" s="298" t="s">
        <v>145</v>
      </c>
      <c r="E17" s="299"/>
      <c r="F17" s="299"/>
      <c r="G17" s="300"/>
      <c r="H17" s="156" t="e">
        <f>COUNTIF(#REF!,1)+COUNTIF(#REF!,1)+COUNTIF(#REF!,1)+COUNTIF($V$5:$V$10,1)+COUNTIF(#REF!,1)</f>
        <v>#REF!</v>
      </c>
      <c r="I17" s="113" t="e">
        <f t="shared" ref="I17:I35" si="3">H17/$H$36*100</f>
        <v>#REF!</v>
      </c>
      <c r="K17" s="158"/>
      <c r="L17" s="85">
        <v>1</v>
      </c>
      <c r="M17" s="298" t="s">
        <v>146</v>
      </c>
      <c r="N17" s="299"/>
      <c r="O17" s="300"/>
      <c r="P17" s="114" t="e">
        <f>C11</f>
        <v>#REF!</v>
      </c>
      <c r="Q17" s="113" t="e">
        <f t="shared" ref="Q17:Q35" si="4">P17/$H$36*100</f>
        <v>#REF!</v>
      </c>
    </row>
    <row r="18" spans="3:20" ht="15.75" x14ac:dyDescent="0.2">
      <c r="C18" s="112">
        <v>2</v>
      </c>
      <c r="D18" s="298" t="s">
        <v>147</v>
      </c>
      <c r="E18" s="299"/>
      <c r="F18" s="299"/>
      <c r="G18" s="300"/>
      <c r="H18" s="114" t="e">
        <f>COUNTIF(#REF!,2)+COUNTIF(#REF!,2)+COUNTIF(#REF!,2)+COUNTIF($V$5:$V$10,2)+COUNTIF(#REF!,2)</f>
        <v>#REF!</v>
      </c>
      <c r="I18" s="113" t="e">
        <f t="shared" si="3"/>
        <v>#REF!</v>
      </c>
      <c r="K18" s="158"/>
      <c r="L18" s="85">
        <v>2</v>
      </c>
      <c r="M18" s="298" t="s">
        <v>148</v>
      </c>
      <c r="N18" s="299"/>
      <c r="O18" s="300"/>
      <c r="P18" s="114" t="e">
        <f>D11</f>
        <v>#REF!</v>
      </c>
      <c r="Q18" s="113" t="e">
        <f t="shared" si="4"/>
        <v>#REF!</v>
      </c>
    </row>
    <row r="19" spans="3:20" s="115" customFormat="1" ht="18" customHeight="1" x14ac:dyDescent="0.2">
      <c r="C19" s="112">
        <v>3</v>
      </c>
      <c r="D19" s="298" t="s">
        <v>149</v>
      </c>
      <c r="E19" s="299"/>
      <c r="F19" s="299"/>
      <c r="G19" s="300"/>
      <c r="H19" s="114" t="e">
        <f>COUNTIF(#REF!,3)+COUNTIF(#REF!,3)+COUNTIF(#REF!,3)+COUNTIF($V$5:$V$10,3)+COUNTIF(#REF!,3)</f>
        <v>#REF!</v>
      </c>
      <c r="I19" s="113" t="e">
        <f t="shared" si="3"/>
        <v>#REF!</v>
      </c>
      <c r="J19" s="116"/>
      <c r="K19" s="158"/>
      <c r="L19" s="85">
        <v>3</v>
      </c>
      <c r="M19" s="298" t="s">
        <v>150</v>
      </c>
      <c r="N19" s="299"/>
      <c r="O19" s="300"/>
      <c r="P19" s="114" t="e">
        <f>E11</f>
        <v>#REF!</v>
      </c>
      <c r="Q19" s="113" t="e">
        <f t="shared" si="4"/>
        <v>#REF!</v>
      </c>
      <c r="T19" s="117"/>
    </row>
    <row r="20" spans="3:20" s="115" customFormat="1" ht="18" customHeight="1" x14ac:dyDescent="0.2">
      <c r="C20" s="112">
        <v>4</v>
      </c>
      <c r="D20" s="298" t="s">
        <v>151</v>
      </c>
      <c r="E20" s="299"/>
      <c r="F20" s="299"/>
      <c r="G20" s="300"/>
      <c r="H20" s="114" t="e">
        <f>COUNTIF(#REF!,4)+COUNTIF(#REF!,4)+COUNTIF(#REF!,4)+COUNTIF($V$5:$V$10,4)+COUNTIF(#REF!,4)</f>
        <v>#REF!</v>
      </c>
      <c r="I20" s="113" t="e">
        <f t="shared" si="3"/>
        <v>#REF!</v>
      </c>
      <c r="J20" s="116"/>
      <c r="K20" s="158"/>
      <c r="L20" s="85">
        <v>4</v>
      </c>
      <c r="M20" s="298" t="s">
        <v>152</v>
      </c>
      <c r="N20" s="299"/>
      <c r="O20" s="300"/>
      <c r="P20" s="114" t="e">
        <f>F11</f>
        <v>#REF!</v>
      </c>
      <c r="Q20" s="113" t="e">
        <f t="shared" si="4"/>
        <v>#REF!</v>
      </c>
      <c r="T20" s="117"/>
    </row>
    <row r="21" spans="3:20" s="115" customFormat="1" ht="18" customHeight="1" x14ac:dyDescent="0.2">
      <c r="C21" s="112">
        <v>5</v>
      </c>
      <c r="D21" s="298" t="s">
        <v>153</v>
      </c>
      <c r="E21" s="299"/>
      <c r="F21" s="299"/>
      <c r="G21" s="300"/>
      <c r="H21" s="114" t="e">
        <f>COUNTIF(#REF!,5)+COUNTIF(#REF!,5)+COUNTIF(#REF!,5)+COUNTIF($V$5:$V$10,5)+COUNTIF(#REF!,5)</f>
        <v>#REF!</v>
      </c>
      <c r="I21" s="113" t="e">
        <f t="shared" si="3"/>
        <v>#REF!</v>
      </c>
      <c r="J21" s="118"/>
      <c r="K21" s="158"/>
      <c r="L21" s="85">
        <v>5</v>
      </c>
      <c r="M21" s="298" t="s">
        <v>154</v>
      </c>
      <c r="N21" s="299"/>
      <c r="O21" s="300"/>
      <c r="P21" s="114" t="e">
        <f>G11</f>
        <v>#REF!</v>
      </c>
      <c r="Q21" s="113" t="e">
        <f t="shared" si="4"/>
        <v>#REF!</v>
      </c>
      <c r="T21" s="117"/>
    </row>
    <row r="22" spans="3:20" s="115" customFormat="1" ht="18" customHeight="1" x14ac:dyDescent="0.2">
      <c r="C22" s="112">
        <v>6</v>
      </c>
      <c r="D22" s="298" t="s">
        <v>155</v>
      </c>
      <c r="E22" s="299"/>
      <c r="F22" s="299"/>
      <c r="G22" s="300"/>
      <c r="H22" s="114" t="e">
        <f>COUNTIF(#REF!,6)+COUNTIF(#REF!,6)+COUNTIF(#REF!,6)+COUNTIF($V$5:$V$10,6)+COUNTIF(#REF!,6)</f>
        <v>#REF!</v>
      </c>
      <c r="I22" s="113" t="e">
        <f t="shared" si="3"/>
        <v>#REF!</v>
      </c>
      <c r="J22" s="118"/>
      <c r="K22" s="158"/>
      <c r="L22" s="85">
        <v>6</v>
      </c>
      <c r="M22" s="298" t="s">
        <v>156</v>
      </c>
      <c r="N22" s="299"/>
      <c r="O22" s="300"/>
      <c r="P22" s="114" t="e">
        <f>H11</f>
        <v>#REF!</v>
      </c>
      <c r="Q22" s="113" t="e">
        <f t="shared" si="4"/>
        <v>#REF!</v>
      </c>
      <c r="T22" s="117"/>
    </row>
    <row r="23" spans="3:20" s="115" customFormat="1" ht="18" customHeight="1" x14ac:dyDescent="0.2">
      <c r="C23" s="112">
        <v>7</v>
      </c>
      <c r="D23" s="298" t="s">
        <v>157</v>
      </c>
      <c r="E23" s="299"/>
      <c r="F23" s="299"/>
      <c r="G23" s="300"/>
      <c r="H23" s="114" t="e">
        <f>COUNTIF(#REF!,7)+COUNTIF(#REF!,7)+COUNTIF(#REF!,7)+COUNTIF($V$5:$V$10,7)+COUNTIF(#REF!,7)</f>
        <v>#REF!</v>
      </c>
      <c r="I23" s="113" t="e">
        <f t="shared" si="3"/>
        <v>#REF!</v>
      </c>
      <c r="J23" s="118"/>
      <c r="K23" s="158"/>
      <c r="L23" s="85">
        <v>7</v>
      </c>
      <c r="M23" s="298" t="s">
        <v>158</v>
      </c>
      <c r="N23" s="299"/>
      <c r="O23" s="300"/>
      <c r="P23" s="114" t="e">
        <f>I11</f>
        <v>#REF!</v>
      </c>
      <c r="Q23" s="113" t="e">
        <f t="shared" si="4"/>
        <v>#REF!</v>
      </c>
      <c r="T23" s="117"/>
    </row>
    <row r="24" spans="3:20" s="115" customFormat="1" ht="18" customHeight="1" x14ac:dyDescent="0.2">
      <c r="C24" s="112">
        <v>8</v>
      </c>
      <c r="D24" s="298" t="s">
        <v>159</v>
      </c>
      <c r="E24" s="299"/>
      <c r="F24" s="299"/>
      <c r="G24" s="300"/>
      <c r="H24" s="114" t="e">
        <f>COUNTIF(#REF!,8)+COUNTIF(#REF!,8)+COUNTIF(#REF!,8)+COUNTIF($V$5:$V$10,8)+COUNTIF(#REF!,8)</f>
        <v>#REF!</v>
      </c>
      <c r="I24" s="113" t="e">
        <f t="shared" si="3"/>
        <v>#REF!</v>
      </c>
      <c r="J24" s="118"/>
      <c r="K24" s="158"/>
      <c r="L24" s="85">
        <v>8</v>
      </c>
      <c r="M24" s="298" t="s">
        <v>160</v>
      </c>
      <c r="N24" s="299"/>
      <c r="O24" s="300"/>
      <c r="P24" s="114" t="e">
        <f>J11</f>
        <v>#REF!</v>
      </c>
      <c r="Q24" s="113" t="e">
        <f t="shared" si="4"/>
        <v>#REF!</v>
      </c>
      <c r="T24" s="117"/>
    </row>
    <row r="25" spans="3:20" s="115" customFormat="1" ht="18" customHeight="1" x14ac:dyDescent="0.2">
      <c r="C25" s="112">
        <v>9</v>
      </c>
      <c r="D25" s="298" t="s">
        <v>161</v>
      </c>
      <c r="E25" s="299"/>
      <c r="F25" s="299"/>
      <c r="G25" s="300"/>
      <c r="H25" s="114" t="e">
        <f>COUNTIF(#REF!,9)+COUNTIF(#REF!,9)+COUNTIF(#REF!,9)+COUNTIF($V$5:$V$10,9)+COUNTIF(#REF!,9)</f>
        <v>#REF!</v>
      </c>
      <c r="I25" s="113" t="e">
        <f t="shared" si="3"/>
        <v>#REF!</v>
      </c>
      <c r="J25" s="116"/>
      <c r="K25" s="158"/>
      <c r="L25" s="85">
        <v>9</v>
      </c>
      <c r="M25" s="298" t="s">
        <v>162</v>
      </c>
      <c r="N25" s="299"/>
      <c r="O25" s="300"/>
      <c r="P25" s="114" t="e">
        <f>K11</f>
        <v>#REF!</v>
      </c>
      <c r="Q25" s="113" t="e">
        <f t="shared" si="4"/>
        <v>#REF!</v>
      </c>
      <c r="T25" s="117"/>
    </row>
    <row r="26" spans="3:20" s="115" customFormat="1" ht="18" customHeight="1" x14ac:dyDescent="0.2">
      <c r="C26" s="112">
        <v>10</v>
      </c>
      <c r="D26" s="298" t="s">
        <v>163</v>
      </c>
      <c r="E26" s="299"/>
      <c r="F26" s="299"/>
      <c r="G26" s="300"/>
      <c r="H26" s="114" t="e">
        <f>COUNTIF(#REF!,10)+COUNTIF(#REF!,10)+COUNTIF(#REF!,10)+COUNTIF($V$5:$V$10,10)+COUNTIF(#REF!,10)</f>
        <v>#REF!</v>
      </c>
      <c r="I26" s="113" t="e">
        <f t="shared" si="3"/>
        <v>#REF!</v>
      </c>
      <c r="J26" s="116"/>
      <c r="K26" s="158"/>
      <c r="L26" s="85">
        <v>10</v>
      </c>
      <c r="M26" s="298" t="s">
        <v>164</v>
      </c>
      <c r="N26" s="299"/>
      <c r="O26" s="300"/>
      <c r="P26" s="114" t="e">
        <f>L11</f>
        <v>#REF!</v>
      </c>
      <c r="Q26" s="113" t="e">
        <f t="shared" si="4"/>
        <v>#REF!</v>
      </c>
      <c r="T26" s="117"/>
    </row>
    <row r="27" spans="3:20" s="115" customFormat="1" ht="18" customHeight="1" x14ac:dyDescent="0.2">
      <c r="C27" s="112">
        <v>11</v>
      </c>
      <c r="D27" s="298" t="s">
        <v>165</v>
      </c>
      <c r="E27" s="299"/>
      <c r="F27" s="299"/>
      <c r="G27" s="300"/>
      <c r="H27" s="114" t="e">
        <f>COUNTIF(#REF!,11)+COUNTIF(#REF!,11)+COUNTIF(#REF!,11)+COUNTIF($V$5:$V$10,11)+COUNTIF(#REF!,11)</f>
        <v>#REF!</v>
      </c>
      <c r="I27" s="113" t="e">
        <f t="shared" si="3"/>
        <v>#REF!</v>
      </c>
      <c r="J27" s="116"/>
      <c r="K27" s="158"/>
      <c r="L27" s="85">
        <v>11</v>
      </c>
      <c r="M27" s="298" t="s">
        <v>166</v>
      </c>
      <c r="N27" s="299"/>
      <c r="O27" s="300"/>
      <c r="P27" s="114" t="e">
        <f>M11</f>
        <v>#REF!</v>
      </c>
      <c r="Q27" s="113" t="e">
        <f t="shared" si="4"/>
        <v>#REF!</v>
      </c>
      <c r="T27" s="117"/>
    </row>
    <row r="28" spans="3:20" s="115" customFormat="1" ht="18" customHeight="1" x14ac:dyDescent="0.2">
      <c r="C28" s="112">
        <v>12</v>
      </c>
      <c r="D28" s="298" t="s">
        <v>167</v>
      </c>
      <c r="E28" s="299"/>
      <c r="F28" s="299"/>
      <c r="G28" s="300"/>
      <c r="H28" s="114" t="e">
        <f>COUNTIF(#REF!,12)+COUNTIF(#REF!,12)+COUNTIF(#REF!,12)+COUNTIF($V$5:$V$10,12)+COUNTIF(#REF!,12)</f>
        <v>#REF!</v>
      </c>
      <c r="I28" s="113" t="e">
        <f t="shared" si="3"/>
        <v>#REF!</v>
      </c>
      <c r="J28" s="116"/>
      <c r="K28" s="158"/>
      <c r="L28" s="85">
        <v>12</v>
      </c>
      <c r="M28" s="298" t="s">
        <v>168</v>
      </c>
      <c r="N28" s="299"/>
      <c r="O28" s="300"/>
      <c r="P28" s="114" t="e">
        <f>N11</f>
        <v>#REF!</v>
      </c>
      <c r="Q28" s="113" t="e">
        <f t="shared" si="4"/>
        <v>#REF!</v>
      </c>
      <c r="T28" s="117"/>
    </row>
    <row r="29" spans="3:20" s="115" customFormat="1" ht="18" customHeight="1" x14ac:dyDescent="0.2">
      <c r="C29" s="112">
        <v>13</v>
      </c>
      <c r="D29" s="298" t="s">
        <v>169</v>
      </c>
      <c r="E29" s="299"/>
      <c r="F29" s="299"/>
      <c r="G29" s="300"/>
      <c r="H29" s="114" t="e">
        <f>COUNTIF(#REF!,13)+COUNTIF(#REF!,13)+COUNTIF(#REF!,13)+COUNTIF($V$5:$V$10,13)+COUNTIF(#REF!,13)</f>
        <v>#REF!</v>
      </c>
      <c r="I29" s="113" t="e">
        <f t="shared" si="3"/>
        <v>#REF!</v>
      </c>
      <c r="J29" s="116"/>
      <c r="K29" s="158"/>
      <c r="L29" s="85">
        <v>13</v>
      </c>
      <c r="M29" s="298" t="s">
        <v>170</v>
      </c>
      <c r="N29" s="299"/>
      <c r="O29" s="300"/>
      <c r="P29" s="114" t="e">
        <f>O11</f>
        <v>#REF!</v>
      </c>
      <c r="Q29" s="113" t="e">
        <f t="shared" si="4"/>
        <v>#REF!</v>
      </c>
      <c r="T29" s="117"/>
    </row>
    <row r="30" spans="3:20" s="115" customFormat="1" ht="18" customHeight="1" x14ac:dyDescent="0.2">
      <c r="C30" s="112">
        <v>14</v>
      </c>
      <c r="D30" s="298" t="s">
        <v>171</v>
      </c>
      <c r="E30" s="299"/>
      <c r="F30" s="299"/>
      <c r="G30" s="300"/>
      <c r="H30" s="114" t="e">
        <f>COUNTIF(#REF!,14)+COUNTIF(#REF!,14)+COUNTIF(#REF!,14)+COUNTIF($V$5:$V$10,14)+COUNTIF(#REF!,14)</f>
        <v>#REF!</v>
      </c>
      <c r="I30" s="113" t="e">
        <f t="shared" si="3"/>
        <v>#REF!</v>
      </c>
      <c r="J30" s="116"/>
      <c r="K30" s="158"/>
      <c r="L30" s="85">
        <v>14</v>
      </c>
      <c r="M30" s="298" t="s">
        <v>172</v>
      </c>
      <c r="N30" s="299"/>
      <c r="O30" s="300"/>
      <c r="P30" s="114" t="e">
        <f>P11</f>
        <v>#REF!</v>
      </c>
      <c r="Q30" s="113" t="e">
        <f t="shared" si="4"/>
        <v>#REF!</v>
      </c>
      <c r="T30" s="117"/>
    </row>
    <row r="31" spans="3:20" s="115" customFormat="1" ht="18" customHeight="1" x14ac:dyDescent="0.2">
      <c r="C31" s="112">
        <v>15</v>
      </c>
      <c r="D31" s="298" t="s">
        <v>173</v>
      </c>
      <c r="E31" s="299"/>
      <c r="F31" s="299"/>
      <c r="G31" s="300"/>
      <c r="H31" s="114">
        <f>COUNTIF($V$5:$V$10,15)</f>
        <v>0</v>
      </c>
      <c r="I31" s="113" t="e">
        <f t="shared" si="3"/>
        <v>#REF!</v>
      </c>
      <c r="J31" s="157"/>
      <c r="K31" s="158"/>
      <c r="L31" s="85">
        <v>15</v>
      </c>
      <c r="M31" s="298" t="s">
        <v>174</v>
      </c>
      <c r="N31" s="299"/>
      <c r="O31" s="300"/>
      <c r="P31" s="114" t="e">
        <f>Q11</f>
        <v>#REF!</v>
      </c>
      <c r="Q31" s="113" t="e">
        <f t="shared" si="4"/>
        <v>#REF!</v>
      </c>
      <c r="T31" s="117"/>
    </row>
    <row r="32" spans="3:20" s="115" customFormat="1" ht="18" customHeight="1" x14ac:dyDescent="0.2">
      <c r="C32" s="112">
        <v>16</v>
      </c>
      <c r="D32" s="298" t="s">
        <v>175</v>
      </c>
      <c r="E32" s="299"/>
      <c r="F32" s="299"/>
      <c r="G32" s="300"/>
      <c r="H32" s="114">
        <f>COUNTIF($V$5:$V$10,16)</f>
        <v>0</v>
      </c>
      <c r="I32" s="113" t="e">
        <f t="shared" si="3"/>
        <v>#REF!</v>
      </c>
      <c r="J32" s="116"/>
      <c r="K32" s="158"/>
      <c r="L32" s="85">
        <v>16</v>
      </c>
      <c r="M32" s="298" t="s">
        <v>176</v>
      </c>
      <c r="N32" s="299"/>
      <c r="O32" s="300"/>
      <c r="P32" s="114" t="e">
        <f>R11</f>
        <v>#REF!</v>
      </c>
      <c r="Q32" s="113" t="e">
        <f t="shared" si="4"/>
        <v>#REF!</v>
      </c>
      <c r="T32" s="117"/>
    </row>
    <row r="33" spans="3:20" s="115" customFormat="1" ht="18" customHeight="1" x14ac:dyDescent="0.2">
      <c r="C33" s="112">
        <v>17</v>
      </c>
      <c r="D33" s="298" t="s">
        <v>177</v>
      </c>
      <c r="E33" s="299"/>
      <c r="F33" s="299"/>
      <c r="G33" s="300"/>
      <c r="H33" s="114">
        <f>COUNTIF($V$5:$V$10,17)</f>
        <v>0</v>
      </c>
      <c r="I33" s="113" t="e">
        <f t="shared" si="3"/>
        <v>#REF!</v>
      </c>
      <c r="J33" s="157"/>
      <c r="K33" s="158"/>
      <c r="L33" s="85">
        <v>17</v>
      </c>
      <c r="M33" s="298" t="s">
        <v>178</v>
      </c>
      <c r="N33" s="299"/>
      <c r="O33" s="300"/>
      <c r="P33" s="114" t="e">
        <f>S11</f>
        <v>#REF!</v>
      </c>
      <c r="Q33" s="113" t="e">
        <f t="shared" si="4"/>
        <v>#REF!</v>
      </c>
      <c r="T33" s="117"/>
    </row>
    <row r="34" spans="3:20" s="115" customFormat="1" ht="18" customHeight="1" x14ac:dyDescent="0.2">
      <c r="C34" s="112">
        <v>18</v>
      </c>
      <c r="D34" s="298" t="s">
        <v>179</v>
      </c>
      <c r="E34" s="299"/>
      <c r="F34" s="299"/>
      <c r="G34" s="300"/>
      <c r="H34" s="114">
        <f>COUNTIF($V$5:$V$10,18)</f>
        <v>0</v>
      </c>
      <c r="I34" s="113" t="e">
        <f t="shared" si="3"/>
        <v>#REF!</v>
      </c>
      <c r="J34" s="116"/>
      <c r="K34" s="158"/>
      <c r="L34" s="85">
        <v>18</v>
      </c>
      <c r="M34" s="298" t="s">
        <v>180</v>
      </c>
      <c r="N34" s="299"/>
      <c r="O34" s="300"/>
      <c r="P34" s="85" t="e">
        <f>T11</f>
        <v>#REF!</v>
      </c>
      <c r="Q34" s="113" t="e">
        <f t="shared" si="4"/>
        <v>#REF!</v>
      </c>
      <c r="T34" s="117"/>
    </row>
    <row r="35" spans="3:20" s="115" customFormat="1" ht="18" customHeight="1" x14ac:dyDescent="0.2">
      <c r="C35" s="112">
        <v>19</v>
      </c>
      <c r="D35" s="298" t="s">
        <v>181</v>
      </c>
      <c r="E35" s="299"/>
      <c r="F35" s="299"/>
      <c r="G35" s="300"/>
      <c r="H35" s="114" t="e">
        <f>COUNTIF(#REF!,19)+COUNTIF(#REF!,19)+COUNTIF(#REF!,19)+COUNTIF($V$5:$V$10,19)+COUNTIF(#REF!,19)</f>
        <v>#REF!</v>
      </c>
      <c r="I35" s="113" t="e">
        <f t="shared" si="3"/>
        <v>#REF!</v>
      </c>
      <c r="J35" s="116"/>
      <c r="K35" s="158"/>
      <c r="L35" s="85">
        <v>19</v>
      </c>
      <c r="M35" s="298" t="s">
        <v>182</v>
      </c>
      <c r="N35" s="299"/>
      <c r="O35" s="300"/>
      <c r="P35" s="85" t="e">
        <f>U11</f>
        <v>#REF!</v>
      </c>
      <c r="Q35" s="113" t="e">
        <f t="shared" si="4"/>
        <v>#REF!</v>
      </c>
      <c r="T35" s="117"/>
    </row>
    <row r="36" spans="3:20" s="115" customFormat="1" ht="18" customHeight="1" x14ac:dyDescent="0.2">
      <c r="C36" s="301" t="s">
        <v>98</v>
      </c>
      <c r="D36" s="302"/>
      <c r="E36" s="302"/>
      <c r="F36" s="302"/>
      <c r="G36" s="303"/>
      <c r="H36" s="119" t="e">
        <f>SUM(H17:H35)</f>
        <v>#REF!</v>
      </c>
      <c r="I36" s="120">
        <v>100</v>
      </c>
      <c r="J36" s="116"/>
      <c r="L36" s="121"/>
      <c r="M36" s="122"/>
      <c r="N36" s="122"/>
      <c r="O36" s="121"/>
      <c r="P36" s="123"/>
      <c r="Q36" s="124"/>
      <c r="T36" s="117"/>
    </row>
    <row r="37" spans="3:20" x14ac:dyDescent="0.2">
      <c r="L37" s="125"/>
    </row>
    <row r="38" spans="3:20" x14ac:dyDescent="0.2">
      <c r="L38" s="125"/>
      <c r="M38" s="127"/>
    </row>
    <row r="39" spans="3:20" x14ac:dyDescent="0.2">
      <c r="L39" s="125"/>
      <c r="M39" s="127"/>
    </row>
    <row r="40" spans="3:20" x14ac:dyDescent="0.2">
      <c r="K40" s="147"/>
      <c r="L40" s="128"/>
      <c r="M40" s="129"/>
      <c r="N40" s="130"/>
      <c r="O40" s="99"/>
      <c r="P40" s="99"/>
      <c r="Q40" s="99"/>
    </row>
    <row r="41" spans="3:20" s="99" customFormat="1" x14ac:dyDescent="0.2">
      <c r="J41" s="104"/>
      <c r="K41" s="147"/>
      <c r="L41" s="128"/>
      <c r="M41" s="129"/>
      <c r="N41" s="130"/>
    </row>
    <row r="42" spans="3:20" s="99" customFormat="1" x14ac:dyDescent="0.2">
      <c r="J42" s="104"/>
      <c r="K42" s="147"/>
      <c r="L42" s="125"/>
      <c r="M42" s="127"/>
      <c r="N42" s="126"/>
      <c r="O42" s="48"/>
      <c r="P42" s="48"/>
      <c r="Q42" s="48"/>
    </row>
    <row r="43" spans="3:20" x14ac:dyDescent="0.2">
      <c r="L43" s="125"/>
      <c r="M43" s="127"/>
    </row>
    <row r="44" spans="3:20" x14ac:dyDescent="0.2">
      <c r="L44" s="125"/>
      <c r="M44" s="127"/>
    </row>
    <row r="45" spans="3:20" x14ac:dyDescent="0.2">
      <c r="L45" s="125"/>
    </row>
    <row r="46" spans="3:20" x14ac:dyDescent="0.2">
      <c r="L46" s="128"/>
      <c r="M46" s="130"/>
      <c r="N46" s="130"/>
      <c r="O46" s="99"/>
      <c r="P46" s="99"/>
      <c r="Q46" s="99"/>
    </row>
    <row r="47" spans="3:20" s="99" customFormat="1" x14ac:dyDescent="0.2">
      <c r="J47" s="104"/>
      <c r="L47" s="128"/>
      <c r="M47" s="130"/>
      <c r="N47" s="130"/>
    </row>
    <row r="48" spans="3:20" s="99" customFormat="1" x14ac:dyDescent="0.2">
      <c r="J48" s="104"/>
      <c r="L48" s="125"/>
      <c r="M48" s="126"/>
      <c r="N48" s="126"/>
      <c r="O48" s="48"/>
      <c r="P48" s="48"/>
      <c r="Q48" s="48"/>
    </row>
    <row r="49" spans="12:12" x14ac:dyDescent="0.2">
      <c r="L49" s="125"/>
    </row>
  </sheetData>
  <mergeCells count="51">
    <mergeCell ref="A1:V1"/>
    <mergeCell ref="A4:B4"/>
    <mergeCell ref="A11:B11"/>
    <mergeCell ref="A12:B12"/>
    <mergeCell ref="A13:V13"/>
    <mergeCell ref="C15:C16"/>
    <mergeCell ref="D15:G16"/>
    <mergeCell ref="H15:I15"/>
    <mergeCell ref="K15:K16"/>
    <mergeCell ref="L15:L16"/>
    <mergeCell ref="M15:O16"/>
    <mergeCell ref="P15:Q15"/>
    <mergeCell ref="D17:G17"/>
    <mergeCell ref="M17:O17"/>
    <mergeCell ref="D18:G18"/>
    <mergeCell ref="M18:O18"/>
    <mergeCell ref="D19:G19"/>
    <mergeCell ref="M19:O19"/>
    <mergeCell ref="D20:G20"/>
    <mergeCell ref="M20:O20"/>
    <mergeCell ref="D21:G21"/>
    <mergeCell ref="M21:O21"/>
    <mergeCell ref="D22:G22"/>
    <mergeCell ref="M22:O22"/>
    <mergeCell ref="D23:G23"/>
    <mergeCell ref="M23:O23"/>
    <mergeCell ref="D24:G24"/>
    <mergeCell ref="M24:O24"/>
    <mergeCell ref="D25:G25"/>
    <mergeCell ref="M25:O25"/>
    <mergeCell ref="D26:G26"/>
    <mergeCell ref="M26:O26"/>
    <mergeCell ref="D27:G27"/>
    <mergeCell ref="M27:O27"/>
    <mergeCell ref="D28:G28"/>
    <mergeCell ref="M28:O28"/>
    <mergeCell ref="D29:G29"/>
    <mergeCell ref="M29:O29"/>
    <mergeCell ref="D30:G30"/>
    <mergeCell ref="M30:O30"/>
    <mergeCell ref="D31:G31"/>
    <mergeCell ref="M31:O31"/>
    <mergeCell ref="D35:G35"/>
    <mergeCell ref="M35:O35"/>
    <mergeCell ref="C36:G36"/>
    <mergeCell ref="D32:G32"/>
    <mergeCell ref="M32:O32"/>
    <mergeCell ref="D33:G33"/>
    <mergeCell ref="M33:O33"/>
    <mergeCell ref="D34:G34"/>
    <mergeCell ref="M34:O34"/>
  </mergeCells>
  <printOptions horizontalCentered="1"/>
  <pageMargins left="0.15748031496062992" right="0.15748031496062992" top="0.64" bottom="0.47" header="0.15748031496062992" footer="0.15748031496062992"/>
  <pageSetup paperSize="9" scale="81" fitToHeight="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nam 2016</vt:lpstr>
      <vt:lpstr>du kien nam 2017</vt:lpstr>
      <vt:lpstr>Du kien nam 2018</vt:lpstr>
      <vt:lpstr>Tc den 11</vt:lpstr>
      <vt:lpstr>Bảng tổng hợp PL 3</vt:lpstr>
      <vt:lpstr>Cu Chi</vt:lpstr>
      <vt:lpstr>Hoc Mon</vt:lpstr>
      <vt:lpstr>Bình chánh</vt:lpstr>
      <vt:lpstr>Nha Be</vt:lpstr>
      <vt:lpstr>Can Gio</vt:lpstr>
      <vt:lpstr>Uoc cuoi nam 2018</vt:lpstr>
      <vt:lpstr>binh quan tc</vt:lpstr>
      <vt:lpstr>ket quả NTM</vt:lpstr>
      <vt:lpstr>'Bình chánh'!Print_Area</vt:lpstr>
      <vt:lpstr>'Can Gio'!Print_Area</vt:lpstr>
      <vt:lpstr>'Cu Chi'!Print_Area</vt:lpstr>
      <vt:lpstr>'du kien nam 2017'!Print_Area</vt:lpstr>
      <vt:lpstr>'Du kien nam 2018'!Print_Area</vt:lpstr>
      <vt:lpstr>'Hoc Mon'!Print_Area</vt:lpstr>
      <vt:lpstr>'nam 2016'!Print_Area</vt:lpstr>
      <vt:lpstr>'Nha Be'!Print_Area</vt:lpstr>
      <vt:lpstr>'Tc den 11'!Print_Area</vt:lpstr>
      <vt:lpstr>'Uoc cuoi nam 2018'!Print_Area</vt:lpstr>
      <vt:lpstr>'Bình chánh'!Print_Titles</vt:lpstr>
      <vt:lpstr>'Can Gio'!Print_Titles</vt:lpstr>
      <vt:lpstr>'Cu Chi'!Print_Titles</vt:lpstr>
      <vt:lpstr>'Hoc Mon'!Print_Titles</vt:lpstr>
      <vt:lpstr>'Nha Be'!Print_Titles</vt:lpstr>
      <vt:lpstr>'Tc den 11'!Print_Titles</vt:lpstr>
      <vt:lpstr>'Uoc cuoi nam 2018'!Print_Titles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Thang P.KHTH VPDPNTM</dc:creator>
  <cp:lastModifiedBy>Nguyen Bac Hai</cp:lastModifiedBy>
  <cp:lastPrinted>2019-10-16T03:43:10Z</cp:lastPrinted>
  <dcterms:created xsi:type="dcterms:W3CDTF">2016-12-30T03:35:12Z</dcterms:created>
  <dcterms:modified xsi:type="dcterms:W3CDTF">2019-11-25T00:58:09Z</dcterms:modified>
</cp:coreProperties>
</file>